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405" windowWidth="15480" windowHeight="7740"/>
  </bookViews>
  <sheets>
    <sheet name="98103" sheetId="7" r:id="rId1"/>
    <sheet name="98104" sheetId="8" r:id="rId2"/>
    <sheet name="98105" sheetId="9" r:id="rId3"/>
    <sheet name="98106" sheetId="10" r:id="rId4"/>
    <sheet name="98107" sheetId="11" r:id="rId5"/>
    <sheet name="Лист1" sheetId="6" r:id="rId6"/>
  </sheets>
  <calcPr calcId="145621" refMode="R1C1"/>
</workbook>
</file>

<file path=xl/calcChain.xml><?xml version="1.0" encoding="utf-8"?>
<calcChain xmlns="http://schemas.openxmlformats.org/spreadsheetml/2006/main">
  <c r="K8" i="7" l="1"/>
  <c r="J8" i="7"/>
  <c r="N10" i="10"/>
  <c r="N4" i="11" l="1"/>
  <c r="P6" i="10"/>
  <c r="N6" i="10"/>
  <c r="M6" i="10"/>
  <c r="K9" i="9"/>
  <c r="K8" i="9"/>
  <c r="Q5" i="8"/>
  <c r="P5" i="8"/>
  <c r="N4" i="8"/>
  <c r="Q11" i="7"/>
  <c r="P11" i="7"/>
  <c r="N11" i="7" l="1"/>
  <c r="M9" i="6" l="1"/>
  <c r="L9" i="6"/>
  <c r="K9" i="6"/>
  <c r="J9" i="6"/>
  <c r="L10" i="10"/>
  <c r="N8" i="10"/>
  <c r="Q8" i="10"/>
  <c r="P8" i="10"/>
  <c r="L7" i="10"/>
  <c r="L4" i="10"/>
  <c r="K8" i="8"/>
  <c r="J8" i="8"/>
  <c r="G7" i="8"/>
  <c r="J4" i="8"/>
  <c r="N5" i="7"/>
  <c r="L5" i="7"/>
  <c r="K5" i="7"/>
  <c r="J5" i="7"/>
  <c r="K5" i="11" l="1"/>
  <c r="J6" i="9"/>
  <c r="O5" i="11" l="1"/>
  <c r="N5" i="11"/>
  <c r="P5" i="11"/>
  <c r="O4" i="11"/>
  <c r="O10" i="10"/>
  <c r="O8" i="10"/>
  <c r="O8" i="11" l="1"/>
  <c r="J5" i="11"/>
  <c r="O7" i="10"/>
  <c r="O6" i="10"/>
  <c r="O4" i="10"/>
  <c r="O7" i="9"/>
  <c r="K7" i="9"/>
  <c r="J7" i="9"/>
  <c r="O6" i="9"/>
  <c r="O4" i="9"/>
  <c r="K4" i="9"/>
  <c r="J4" i="9"/>
  <c r="O5" i="8"/>
  <c r="K5" i="8"/>
  <c r="J5" i="8"/>
  <c r="O5" i="7"/>
  <c r="G4" i="11" l="1"/>
  <c r="O11" i="9"/>
  <c r="O8" i="9"/>
  <c r="K5" i="9"/>
  <c r="O5" i="9"/>
  <c r="O7" i="8"/>
  <c r="O4" i="8"/>
  <c r="O11" i="7"/>
  <c r="O8" i="7"/>
  <c r="O7" i="7"/>
  <c r="R8" i="11" l="1"/>
  <c r="E8" i="10"/>
  <c r="J8" i="9"/>
  <c r="F9" i="6" l="1"/>
  <c r="F11" i="6" s="1"/>
  <c r="K8" i="10"/>
  <c r="J8" i="10"/>
  <c r="K6" i="10"/>
  <c r="J6" i="10"/>
  <c r="J5" i="9"/>
  <c r="E9" i="6" l="1"/>
  <c r="E11" i="6" s="1"/>
  <c r="F11" i="7"/>
  <c r="C17" i="11" l="1"/>
  <c r="E6" i="10"/>
  <c r="C19" i="10"/>
  <c r="E5" i="9"/>
  <c r="C19" i="9"/>
  <c r="E8" i="8"/>
  <c r="E5" i="8"/>
  <c r="E4" i="8"/>
  <c r="C17" i="8"/>
  <c r="C19" i="7"/>
  <c r="G19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T11" i="7"/>
  <c r="U11" i="7" s="1"/>
  <c r="T10" i="7"/>
  <c r="T9" i="7"/>
  <c r="U9" i="7"/>
  <c r="T8" i="7"/>
  <c r="D8" i="7" s="1"/>
  <c r="T7" i="7"/>
  <c r="U7" i="7" s="1"/>
  <c r="T6" i="7"/>
  <c r="T5" i="7"/>
  <c r="U5" i="7" s="1"/>
  <c r="T4" i="7"/>
  <c r="T3" i="7"/>
  <c r="G17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T9" i="8"/>
  <c r="U9" i="8" s="1"/>
  <c r="T8" i="8"/>
  <c r="U8" i="8" s="1"/>
  <c r="T7" i="8"/>
  <c r="U7" i="8" s="1"/>
  <c r="T6" i="8"/>
  <c r="U6" i="8" s="1"/>
  <c r="T4" i="8"/>
  <c r="U4" i="8" s="1"/>
  <c r="T5" i="8"/>
  <c r="U5" i="8" s="1"/>
  <c r="T3" i="8"/>
  <c r="G19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T11" i="9"/>
  <c r="U11" i="9" s="1"/>
  <c r="T10" i="9"/>
  <c r="U10" i="9" s="1"/>
  <c r="T9" i="9"/>
  <c r="U9" i="9" s="1"/>
  <c r="T8" i="9"/>
  <c r="U8" i="9" s="1"/>
  <c r="T7" i="9"/>
  <c r="U7" i="9" s="1"/>
  <c r="T6" i="9"/>
  <c r="U6" i="9" s="1"/>
  <c r="T5" i="9"/>
  <c r="U5" i="9" s="1"/>
  <c r="T4" i="9"/>
  <c r="U4" i="9" s="1"/>
  <c r="T3" i="9"/>
  <c r="G19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T11" i="10"/>
  <c r="U11" i="10" s="1"/>
  <c r="T10" i="10"/>
  <c r="U10" i="10" s="1"/>
  <c r="T9" i="10"/>
  <c r="U9" i="10"/>
  <c r="T8" i="10"/>
  <c r="U8" i="10" s="1"/>
  <c r="T7" i="10"/>
  <c r="U7" i="10" s="1"/>
  <c r="T6" i="10"/>
  <c r="U6" i="10" s="1"/>
  <c r="T5" i="10"/>
  <c r="U5" i="10"/>
  <c r="T4" i="10"/>
  <c r="U4" i="10" s="1"/>
  <c r="T3" i="10"/>
  <c r="G17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T9" i="11"/>
  <c r="U9" i="11" s="1"/>
  <c r="T8" i="11"/>
  <c r="U8" i="11" s="1"/>
  <c r="T7" i="11"/>
  <c r="U7" i="11" s="1"/>
  <c r="T6" i="11"/>
  <c r="U6" i="11" s="1"/>
  <c r="T5" i="11"/>
  <c r="U5" i="11" s="1"/>
  <c r="T4" i="11"/>
  <c r="U4" i="11" s="1"/>
  <c r="T3" i="11"/>
  <c r="D10" i="7"/>
  <c r="U10" i="7"/>
  <c r="D7" i="7"/>
  <c r="D9" i="7"/>
  <c r="D9" i="8"/>
  <c r="D11" i="10"/>
  <c r="D9" i="11"/>
  <c r="N9" i="6"/>
  <c r="N11" i="6" s="1"/>
  <c r="M11" i="6"/>
  <c r="J11" i="6"/>
  <c r="I9" i="6"/>
  <c r="I11" i="6" s="1"/>
  <c r="H9" i="6"/>
  <c r="H11" i="6" s="1"/>
  <c r="G9" i="6"/>
  <c r="G11" i="6" s="1"/>
  <c r="D6" i="11"/>
  <c r="D9" i="10"/>
  <c r="D5" i="10"/>
  <c r="D10" i="9"/>
  <c r="D6" i="7"/>
  <c r="D4" i="7"/>
  <c r="D7" i="11" l="1"/>
  <c r="D9" i="9"/>
  <c r="V5" i="10"/>
  <c r="D11" i="9"/>
  <c r="D6" i="8"/>
  <c r="D4" i="8"/>
  <c r="D10" i="10"/>
  <c r="V11" i="10"/>
  <c r="V10" i="10"/>
  <c r="T12" i="10"/>
  <c r="O19" i="10" s="1"/>
  <c r="C7" i="6" s="1"/>
  <c r="D4" i="10"/>
  <c r="D6" i="9"/>
  <c r="D5" i="11"/>
  <c r="D8" i="11"/>
  <c r="V8" i="11"/>
  <c r="V5" i="11"/>
  <c r="T10" i="11"/>
  <c r="O17" i="11" s="1"/>
  <c r="C8" i="6" s="1"/>
  <c r="D4" i="11"/>
  <c r="V6" i="11"/>
  <c r="D7" i="10"/>
  <c r="V10" i="9"/>
  <c r="D4" i="9"/>
  <c r="T12" i="9"/>
  <c r="O19" i="9" s="1"/>
  <c r="C6" i="6" s="1"/>
  <c r="D7" i="8"/>
  <c r="U8" i="7"/>
  <c r="D11" i="7"/>
  <c r="U6" i="7"/>
  <c r="D5" i="7"/>
  <c r="V6" i="10"/>
  <c r="D6" i="10"/>
  <c r="V8" i="10"/>
  <c r="D8" i="10"/>
  <c r="D7" i="9"/>
  <c r="V8" i="9"/>
  <c r="D8" i="9"/>
  <c r="D5" i="8"/>
  <c r="V9" i="11"/>
  <c r="V5" i="8"/>
  <c r="V6" i="8"/>
  <c r="D8" i="8"/>
  <c r="V4" i="8"/>
  <c r="W6" i="8"/>
  <c r="V7" i="8"/>
  <c r="T10" i="8"/>
  <c r="O17" i="8" s="1"/>
  <c r="C5" i="6" s="1"/>
  <c r="V8" i="8"/>
  <c r="V9" i="8"/>
  <c r="V4" i="10"/>
  <c r="V7" i="10"/>
  <c r="V9" i="10"/>
  <c r="W8" i="10"/>
  <c r="V9" i="9"/>
  <c r="V6" i="9"/>
  <c r="D5" i="9"/>
  <c r="V7" i="9"/>
  <c r="V4" i="9"/>
  <c r="V5" i="9"/>
  <c r="V11" i="9"/>
  <c r="W7" i="9"/>
  <c r="V4" i="7"/>
  <c r="V10" i="7"/>
  <c r="V6" i="7"/>
  <c r="V7" i="11"/>
  <c r="V4" i="11"/>
  <c r="V9" i="7"/>
  <c r="V8" i="7"/>
  <c r="V5" i="7"/>
  <c r="V11" i="7"/>
  <c r="T12" i="7"/>
  <c r="O19" i="7" s="1"/>
  <c r="C4" i="6" s="1"/>
  <c r="V7" i="7"/>
  <c r="U10" i="11"/>
  <c r="P17" i="11" s="1"/>
  <c r="W4" i="11"/>
  <c r="W8" i="11"/>
  <c r="W9" i="11"/>
  <c r="W7" i="11"/>
  <c r="W9" i="10"/>
  <c r="W10" i="10"/>
  <c r="W7" i="10"/>
  <c r="W5" i="10"/>
  <c r="W4" i="10"/>
  <c r="U12" i="10"/>
  <c r="P19" i="10" s="1"/>
  <c r="W11" i="10"/>
  <c r="W6" i="9"/>
  <c r="W10" i="9"/>
  <c r="U10" i="8"/>
  <c r="P17" i="8" s="1"/>
  <c r="W4" i="8"/>
  <c r="W9" i="8"/>
  <c r="W11" i="9"/>
  <c r="W5" i="11"/>
  <c r="W4" i="9"/>
  <c r="U12" i="9"/>
  <c r="P19" i="9" s="1"/>
  <c r="W8" i="9"/>
  <c r="W7" i="8"/>
  <c r="W6" i="11"/>
  <c r="W6" i="10"/>
  <c r="W5" i="9"/>
  <c r="W9" i="9"/>
  <c r="W5" i="8"/>
  <c r="W8" i="8"/>
  <c r="U4" i="7"/>
  <c r="W6" i="7" l="1"/>
  <c r="C9" i="6"/>
  <c r="C11" i="6" s="1"/>
  <c r="W12" i="9"/>
  <c r="W10" i="11"/>
  <c r="W9" i="7"/>
  <c r="W7" i="7"/>
  <c r="U12" i="7"/>
  <c r="P19" i="7" s="1"/>
  <c r="W5" i="7"/>
  <c r="W8" i="7"/>
  <c r="W10" i="7"/>
  <c r="W4" i="7"/>
  <c r="W10" i="8"/>
  <c r="W11" i="7"/>
  <c r="W12" i="10"/>
  <c r="W12" i="7" l="1"/>
</calcChain>
</file>

<file path=xl/comments1.xml><?xml version="1.0" encoding="utf-8"?>
<comments xmlns="http://schemas.openxmlformats.org/spreadsheetml/2006/main">
  <authors>
    <author>Family</author>
  </authors>
  <commentLis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Family:</t>
        </r>
        <r>
          <rPr>
            <sz val="9"/>
            <color indexed="81"/>
            <rFont val="Tahoma"/>
            <family val="2"/>
            <charset val="204"/>
          </rPr>
          <t xml:space="preserve">
Староста
910-968-2628 </t>
        </r>
      </text>
    </comment>
  </commentList>
</comments>
</file>

<file path=xl/sharedStrings.xml><?xml version="1.0" encoding="utf-8"?>
<sst xmlns="http://schemas.openxmlformats.org/spreadsheetml/2006/main" count="269" uniqueCount="98">
  <si>
    <t>Фамилия студента</t>
  </si>
  <si>
    <t>Текущ.атт. оценка</t>
  </si>
  <si>
    <t>Итого (текущее значение)</t>
  </si>
  <si>
    <t>Приведенное значение набранных БАЛЛОВ</t>
  </si>
  <si>
    <t>Рейтинг</t>
  </si>
  <si>
    <t>Нарастающая сумма приведенных баллов</t>
  </si>
  <si>
    <t>Зачет</t>
  </si>
  <si>
    <t>Студентов в группе</t>
  </si>
  <si>
    <t>Норма баллов ECTS</t>
  </si>
  <si>
    <t>Норма для оценки</t>
  </si>
  <si>
    <t>Интервал (%)</t>
  </si>
  <si>
    <t>Оценка</t>
  </si>
  <si>
    <t>Трудоемкость курса в кредитах</t>
  </si>
  <si>
    <t>Устанавливаемая норма баллов</t>
  </si>
  <si>
    <t>№ зачетки</t>
  </si>
  <si>
    <t>ИТОГО</t>
  </si>
  <si>
    <t>Максимальный балл</t>
  </si>
  <si>
    <t>Посещаемость</t>
  </si>
  <si>
    <t>Справочно:</t>
  </si>
  <si>
    <t>обязательные задания</t>
  </si>
  <si>
    <r>
      <t xml:space="preserve">100 баллов - норма (расчет дифференцированной итоговой оценки, </t>
    </r>
    <r>
      <rPr>
        <b/>
        <sz val="11"/>
        <color indexed="8"/>
        <rFont val="Calibri"/>
        <family val="2"/>
        <charset val="204"/>
      </rPr>
      <t>автоматический</t>
    </r>
    <r>
      <rPr>
        <sz val="11"/>
        <color theme="1"/>
        <rFont val="Calibri"/>
        <family val="2"/>
        <charset val="204"/>
        <scheme val="minor"/>
      </rPr>
      <t xml:space="preserve"> зачет)</t>
    </r>
  </si>
  <si>
    <t>80 баллов - зачет (с учетом ответов на вопросы)</t>
  </si>
  <si>
    <t>60 баллов - допуск к зачету</t>
  </si>
  <si>
    <t xml:space="preserve">Анкета </t>
  </si>
  <si>
    <t>Логич. термины</t>
  </si>
  <si>
    <t>Анализ текстов</t>
  </si>
  <si>
    <t>Реферат</t>
  </si>
  <si>
    <t>Научная школа России</t>
  </si>
  <si>
    <t>"Дерево" н/шк</t>
  </si>
  <si>
    <t>Анализ ответов</t>
  </si>
  <si>
    <t>К/Р разделы автореферата</t>
  </si>
  <si>
    <t>Работа в Moodle</t>
  </si>
  <si>
    <t>Описание МТДЛ подхода</t>
  </si>
  <si>
    <t>Теоретические основы</t>
  </si>
  <si>
    <t>Спецзадание</t>
  </si>
  <si>
    <t>Ответы на вопросы зачета</t>
  </si>
  <si>
    <t>Доп условие: по обязательным заданиям должно быть набрано не менее 30% нормы</t>
  </si>
  <si>
    <t>Ученый /анализ работы</t>
  </si>
  <si>
    <t>Зачёт проставлен</t>
  </si>
  <si>
    <t>обязательные задания на выбор</t>
  </si>
  <si>
    <t>Ср.балл текущ.</t>
  </si>
  <si>
    <t>Сумма</t>
  </si>
  <si>
    <t>Ср.балл потока</t>
  </si>
  <si>
    <t xml:space="preserve">19 июня </t>
  </si>
  <si>
    <r>
      <t xml:space="preserve">Курс </t>
    </r>
    <r>
      <rPr>
        <b/>
        <i/>
        <sz val="16"/>
        <color indexed="8"/>
        <rFont val="Calibri"/>
        <family val="2"/>
        <charset val="204"/>
      </rPr>
      <t>"НИ в ПДе"</t>
    </r>
    <r>
      <rPr>
        <i/>
        <sz val="16"/>
        <color indexed="8"/>
        <rFont val="Calibri"/>
        <family val="2"/>
        <charset val="204"/>
      </rPr>
      <t xml:space="preserve"> 2020 год Юдин В.В.</t>
    </r>
  </si>
  <si>
    <t>Группа 98103</t>
  </si>
  <si>
    <t>Бадальянц Мария Олеговна</t>
  </si>
  <si>
    <t>Виноградова Валерия Олеговна</t>
  </si>
  <si>
    <t>Горлова Дарья Владимировна</t>
  </si>
  <si>
    <t>Дармограй Артем Петрович</t>
  </si>
  <si>
    <t>Матвеева Ирина Андреевна</t>
  </si>
  <si>
    <t>Храпулина Любовь Юрьевна</t>
  </si>
  <si>
    <t>Васильева Валерия Сергеевна</t>
  </si>
  <si>
    <t>Григорьева Татьяна Александровна</t>
  </si>
  <si>
    <t>Красотина Алена Владимировна</t>
  </si>
  <si>
    <t>Травина Анастасия Сергеевна</t>
  </si>
  <si>
    <t>Федосеев Иван Николаевич</t>
  </si>
  <si>
    <t>Христораднов Иван Александрович</t>
  </si>
  <si>
    <t>Яковлева Алена Николаевна</t>
  </si>
  <si>
    <t>Апарчина Татьяна Сергеевна</t>
  </si>
  <si>
    <t>Галаян Кристина Самвеловна</t>
  </si>
  <si>
    <t>Москаленко Александр Владимирович</t>
  </si>
  <si>
    <t>Петрова Елизавета Вадимовна</t>
  </si>
  <si>
    <t>Шмаков Илья Александрович</t>
  </si>
  <si>
    <t>Группа 98107</t>
  </si>
  <si>
    <t>Конькова Юлия Владимировна</t>
  </si>
  <si>
    <t>Миронова Анна Николаевна</t>
  </si>
  <si>
    <t>Назаров Илья Алексеевич</t>
  </si>
  <si>
    <t>Самсонова Анастасия Александровна</t>
  </si>
  <si>
    <t>Шлейко Нина Геннадьевна</t>
  </si>
  <si>
    <t>Кирилычева Наталья Александровна</t>
  </si>
  <si>
    <t>Кочергина Ксения Николаевна</t>
  </si>
  <si>
    <t>Кривченко Юлия Сергеевна</t>
  </si>
  <si>
    <t>Кузнецова Екатерина Евгеньевна</t>
  </si>
  <si>
    <t>Лингурарь Алена Виленовна</t>
  </si>
  <si>
    <t>Лоханин Антон Михайлович</t>
  </si>
  <si>
    <t>Птицына Екатерина Николаевна</t>
  </si>
  <si>
    <t>Сергеева Анастасия Леонидовна</t>
  </si>
  <si>
    <t>Ветеркова Ирина Александровна</t>
  </si>
  <si>
    <t>20 марта</t>
  </si>
  <si>
    <t>Великанова (Прокофьева) Мария Валерьевна - Староста 910-968-2628</t>
  </si>
  <si>
    <t>Гилева (Лендова) Екатерина Николаевна</t>
  </si>
  <si>
    <t xml:space="preserve">Рейтинг групп по курсу "НИ в ПДе" </t>
  </si>
  <si>
    <t>Фамилия студента   Психология карьерного развития</t>
  </si>
  <si>
    <t>-</t>
  </si>
  <si>
    <t>должники на отчисление 30.04</t>
  </si>
  <si>
    <t>Фамилия студента         Психология и педагогика профессионального образования</t>
  </si>
  <si>
    <t>Камалова (Пирожкова) Надежда Юрьевна</t>
  </si>
  <si>
    <t>Елистратова Е.В. - ?</t>
  </si>
  <si>
    <t>Великанова (Прокофьева) Мария Валерьевна</t>
  </si>
  <si>
    <r>
      <rPr>
        <b/>
        <sz val="12"/>
        <rFont val="Times New Roman"/>
        <family val="1"/>
        <charset val="204"/>
      </rPr>
      <t>Группа</t>
    </r>
    <r>
      <rPr>
        <b/>
        <sz val="14"/>
        <rFont val="Times New Roman"/>
        <family val="1"/>
        <charset val="204"/>
      </rPr>
      <t xml:space="preserve"> 98104</t>
    </r>
  </si>
  <si>
    <r>
      <t xml:space="preserve">Группа </t>
    </r>
    <r>
      <rPr>
        <b/>
        <sz val="14"/>
        <rFont val="Times New Roman"/>
        <family val="1"/>
        <charset val="204"/>
      </rPr>
      <t>98105</t>
    </r>
  </si>
  <si>
    <r>
      <t>Группа</t>
    </r>
    <r>
      <rPr>
        <b/>
        <sz val="14"/>
        <rFont val="Times New Roman"/>
        <family val="1"/>
        <charset val="204"/>
      </rPr>
      <t xml:space="preserve"> 98106</t>
    </r>
  </si>
  <si>
    <t>Гущина (Кузнецова) Марина Ивановна</t>
  </si>
  <si>
    <t>Аттестация</t>
  </si>
  <si>
    <t>4 Мая</t>
  </si>
  <si>
    <t>21 мая</t>
  </si>
  <si>
    <t>28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</si>
</sst>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indexed="17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i/>
      <sz val="16"/>
      <color indexed="8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9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6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31"/>
      </patternFill>
    </fill>
    <fill>
      <patternFill patternType="solid">
        <fgColor indexed="13"/>
        <bgColor indexed="27"/>
      </patternFill>
    </fill>
    <fill>
      <patternFill patternType="solid">
        <fgColor indexed="51"/>
        <bgColor indexed="2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55"/>
        <bgColor indexed="46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27"/>
      </patternFill>
    </fill>
    <fill>
      <patternFill patternType="solid">
        <fgColor indexed="5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27"/>
      </patternFill>
    </fill>
    <fill>
      <patternFill patternType="solid">
        <fgColor rgb="FFFFC000"/>
        <bgColor indexed="27"/>
      </patternFill>
    </fill>
  </fills>
  <borders count="6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3"/>
      </right>
      <top/>
      <bottom style="thin">
        <color indexed="63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  <xf numFmtId="164" fontId="5" fillId="0" borderId="0" applyFont="0" applyFill="0" applyBorder="0" applyAlignment="0" applyProtection="0"/>
  </cellStyleXfs>
  <cellXfs count="182">
    <xf numFmtId="0" fontId="0" fillId="0" borderId="0" xfId="0"/>
    <xf numFmtId="0" fontId="0" fillId="4" borderId="0" xfId="0" applyFill="1"/>
    <xf numFmtId="0" fontId="3" fillId="3" borderId="2" xfId="2" applyNumberFormat="1" applyFont="1" applyBorder="1" applyAlignment="1" applyProtection="1">
      <protection locked="0"/>
    </xf>
    <xf numFmtId="0" fontId="4" fillId="3" borderId="2" xfId="2" applyNumberFormat="1" applyFont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5" borderId="0" xfId="0" applyFill="1"/>
    <xf numFmtId="0" fontId="7" fillId="0" borderId="0" xfId="0" applyFont="1"/>
    <xf numFmtId="0" fontId="10" fillId="0" borderId="0" xfId="0" applyFont="1"/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165" fontId="10" fillId="0" borderId="0" xfId="3" applyNumberFormat="1" applyFont="1"/>
    <xf numFmtId="0" fontId="11" fillId="0" borderId="0" xfId="0" applyFont="1" applyAlignment="1">
      <alignment horizontal="center" vertical="top"/>
    </xf>
    <xf numFmtId="2" fontId="10" fillId="0" borderId="7" xfId="0" applyNumberFormat="1" applyFont="1" applyFill="1" applyBorder="1"/>
    <xf numFmtId="165" fontId="8" fillId="2" borderId="8" xfId="3" applyNumberFormat="1" applyFont="1" applyFill="1" applyBorder="1" applyAlignment="1" applyProtection="1">
      <alignment horizontal="center" vertical="center" wrapText="1"/>
    </xf>
    <xf numFmtId="165" fontId="8" fillId="2" borderId="9" xfId="3" applyNumberFormat="1" applyFont="1" applyFill="1" applyBorder="1" applyAlignment="1" applyProtection="1">
      <alignment horizontal="center" vertical="center" wrapText="1"/>
    </xf>
    <xf numFmtId="165" fontId="8" fillId="2" borderId="10" xfId="3" applyNumberFormat="1" applyFont="1" applyFill="1" applyBorder="1" applyAlignment="1" applyProtection="1">
      <alignment horizontal="center" vertical="center" wrapText="1"/>
    </xf>
    <xf numFmtId="165" fontId="8" fillId="2" borderId="11" xfId="3" applyNumberFormat="1" applyFont="1" applyFill="1" applyBorder="1" applyAlignment="1" applyProtection="1">
      <alignment horizontal="center" vertical="center" wrapText="1"/>
    </xf>
    <xf numFmtId="165" fontId="8" fillId="2" borderId="12" xfId="3" applyNumberFormat="1" applyFont="1" applyFill="1" applyBorder="1" applyAlignment="1" applyProtection="1">
      <alignment horizontal="center" vertical="center" wrapText="1"/>
    </xf>
    <xf numFmtId="2" fontId="10" fillId="0" borderId="13" xfId="0" applyNumberFormat="1" applyFont="1" applyFill="1" applyBorder="1"/>
    <xf numFmtId="0" fontId="8" fillId="6" borderId="8" xfId="1" applyNumberFormat="1" applyFont="1" applyFill="1" applyBorder="1" applyAlignment="1" applyProtection="1">
      <alignment horizontal="center" vertical="center" wrapText="1"/>
    </xf>
    <xf numFmtId="0" fontId="8" fillId="6" borderId="9" xfId="1" applyNumberFormat="1" applyFont="1" applyFill="1" applyBorder="1" applyAlignment="1" applyProtection="1">
      <alignment horizontal="center" vertical="center" wrapText="1"/>
    </xf>
    <xf numFmtId="0" fontId="8" fillId="6" borderId="14" xfId="1" applyNumberFormat="1" applyFont="1" applyFill="1" applyBorder="1" applyAlignment="1" applyProtection="1">
      <alignment horizontal="center" vertical="center" wrapText="1"/>
    </xf>
    <xf numFmtId="0" fontId="8" fillId="6" borderId="10" xfId="1" applyNumberFormat="1" applyFont="1" applyFill="1" applyBorder="1" applyAlignment="1" applyProtection="1">
      <alignment horizontal="center" vertical="center" wrapText="1"/>
    </xf>
    <xf numFmtId="0" fontId="8" fillId="6" borderId="15" xfId="1" applyNumberFormat="1" applyFont="1" applyFill="1" applyBorder="1" applyAlignment="1" applyProtection="1">
      <alignment horizontal="center" vertical="center" wrapText="1"/>
    </xf>
    <xf numFmtId="0" fontId="8" fillId="6" borderId="16" xfId="1" applyNumberFormat="1" applyFont="1" applyFill="1" applyBorder="1" applyAlignment="1" applyProtection="1">
      <alignment horizontal="center" vertical="center" wrapText="1"/>
    </xf>
    <xf numFmtId="0" fontId="8" fillId="6" borderId="17" xfId="1" applyNumberFormat="1" applyFont="1" applyFill="1" applyBorder="1" applyAlignment="1" applyProtection="1">
      <alignment horizontal="center" vertical="center" wrapText="1"/>
    </xf>
    <xf numFmtId="0" fontId="8" fillId="2" borderId="18" xfId="1" applyNumberFormat="1" applyFont="1" applyBorder="1" applyAlignment="1" applyProtection="1">
      <alignment horizontal="center" vertical="top" wrapText="1"/>
    </xf>
    <xf numFmtId="0" fontId="8" fillId="7" borderId="19" xfId="2" applyNumberFormat="1" applyFont="1" applyFill="1" applyBorder="1" applyAlignment="1" applyProtection="1">
      <alignment horizontal="center" vertical="top" wrapText="1"/>
      <protection locked="0"/>
    </xf>
    <xf numFmtId="0" fontId="8" fillId="3" borderId="19" xfId="2" applyNumberFormat="1" applyFont="1" applyBorder="1" applyAlignment="1" applyProtection="1">
      <alignment horizontal="center" vertical="top" wrapText="1"/>
      <protection locked="0"/>
    </xf>
    <xf numFmtId="0" fontId="8" fillId="8" borderId="19" xfId="2" applyNumberFormat="1" applyFont="1" applyFill="1" applyBorder="1" applyAlignment="1" applyProtection="1">
      <alignment horizontal="center" vertical="top" wrapText="1"/>
      <protection locked="0"/>
    </xf>
    <xf numFmtId="0" fontId="8" fillId="8" borderId="20" xfId="2" applyNumberFormat="1" applyFont="1" applyFill="1" applyBorder="1" applyAlignment="1" applyProtection="1">
      <alignment horizontal="center" vertical="top" wrapText="1"/>
      <protection locked="0"/>
    </xf>
    <xf numFmtId="0" fontId="8" fillId="8" borderId="21" xfId="2" applyNumberFormat="1" applyFont="1" applyFill="1" applyBorder="1" applyAlignment="1" applyProtection="1">
      <alignment horizontal="center" vertical="top" wrapText="1"/>
      <protection locked="0"/>
    </xf>
    <xf numFmtId="0" fontId="8" fillId="3" borderId="22" xfId="2" applyNumberFormat="1" applyFont="1" applyBorder="1" applyAlignment="1" applyProtection="1">
      <alignment horizontal="center" vertical="top" wrapText="1"/>
      <protection locked="0"/>
    </xf>
    <xf numFmtId="0" fontId="11" fillId="9" borderId="22" xfId="0" applyFont="1" applyFill="1" applyBorder="1" applyAlignment="1">
      <alignment horizontal="center" vertical="top" wrapText="1"/>
    </xf>
    <xf numFmtId="0" fontId="8" fillId="2" borderId="23" xfId="1" applyNumberFormat="1" applyFont="1" applyBorder="1" applyAlignment="1" applyProtection="1">
      <alignment horizontal="center" vertical="top" wrapText="1"/>
    </xf>
    <xf numFmtId="0" fontId="8" fillId="2" borderId="24" xfId="1" applyNumberFormat="1" applyFont="1" applyBorder="1" applyAlignment="1" applyProtection="1">
      <alignment horizontal="center" vertical="top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2" fontId="9" fillId="10" borderId="26" xfId="0" applyNumberFormat="1" applyFont="1" applyFill="1" applyBorder="1"/>
    <xf numFmtId="0" fontId="8" fillId="0" borderId="27" xfId="1" applyNumberFormat="1" applyFont="1" applyFill="1" applyBorder="1" applyAlignment="1" applyProtection="1">
      <alignment horizontal="center" vertical="center" wrapText="1"/>
    </xf>
    <xf numFmtId="2" fontId="9" fillId="10" borderId="28" xfId="0" applyNumberFormat="1" applyFont="1" applyFill="1" applyBorder="1"/>
    <xf numFmtId="0" fontId="8" fillId="0" borderId="29" xfId="1" applyNumberFormat="1" applyFont="1" applyFill="1" applyBorder="1" applyAlignment="1" applyProtection="1">
      <alignment horizontal="center" vertical="center" wrapText="1"/>
    </xf>
    <xf numFmtId="0" fontId="8" fillId="0" borderId="30" xfId="1" applyNumberFormat="1" applyFont="1" applyFill="1" applyBorder="1" applyAlignment="1" applyProtection="1">
      <alignment horizontal="center" vertical="center" wrapText="1"/>
    </xf>
    <xf numFmtId="0" fontId="8" fillId="11" borderId="31" xfId="1" applyNumberFormat="1" applyFont="1" applyFill="1" applyBorder="1" applyAlignment="1" applyProtection="1">
      <alignment horizontal="center" vertical="top" wrapText="1"/>
    </xf>
    <xf numFmtId="0" fontId="13" fillId="2" borderId="32" xfId="1" applyNumberFormat="1" applyFont="1" applyBorder="1" applyAlignment="1" applyProtection="1">
      <alignment horizontal="center" vertical="top" wrapText="1"/>
    </xf>
    <xf numFmtId="0" fontId="14" fillId="3" borderId="2" xfId="2" applyNumberFormat="1" applyFont="1" applyBorder="1" applyAlignment="1" applyProtection="1">
      <protection locked="0"/>
    </xf>
    <xf numFmtId="0" fontId="14" fillId="8" borderId="2" xfId="2" applyNumberFormat="1" applyFont="1" applyFill="1" applyBorder="1" applyAlignment="1" applyProtection="1">
      <protection locked="0"/>
    </xf>
    <xf numFmtId="0" fontId="14" fillId="8" borderId="33" xfId="2" applyNumberFormat="1" applyFont="1" applyFill="1" applyBorder="1" applyAlignment="1" applyProtection="1">
      <protection locked="0"/>
    </xf>
    <xf numFmtId="0" fontId="15" fillId="3" borderId="33" xfId="2" applyNumberFormat="1" applyFont="1" applyBorder="1" applyAlignment="1" applyProtection="1">
      <protection locked="0"/>
    </xf>
    <xf numFmtId="0" fontId="10" fillId="9" borderId="34" xfId="0" applyFont="1" applyFill="1" applyBorder="1"/>
    <xf numFmtId="0" fontId="14" fillId="3" borderId="3" xfId="2" applyNumberFormat="1" applyFont="1" applyBorder="1" applyAlignment="1" applyProtection="1">
      <protection locked="0"/>
    </xf>
    <xf numFmtId="0" fontId="14" fillId="8" borderId="3" xfId="2" applyNumberFormat="1" applyFont="1" applyFill="1" applyBorder="1" applyAlignment="1" applyProtection="1">
      <protection locked="0"/>
    </xf>
    <xf numFmtId="0" fontId="14" fillId="8" borderId="35" xfId="2" applyNumberFormat="1" applyFont="1" applyFill="1" applyBorder="1" applyAlignment="1" applyProtection="1">
      <protection locked="0"/>
    </xf>
    <xf numFmtId="0" fontId="10" fillId="9" borderId="36" xfId="0" applyFont="1" applyFill="1" applyBorder="1"/>
    <xf numFmtId="0" fontId="14" fillId="3" borderId="4" xfId="2" applyNumberFormat="1" applyFont="1" applyBorder="1" applyAlignment="1" applyProtection="1">
      <protection locked="0"/>
    </xf>
    <xf numFmtId="0" fontId="14" fillId="3" borderId="5" xfId="2" applyNumberFormat="1" applyFont="1" applyBorder="1" applyAlignment="1" applyProtection="1">
      <protection locked="0"/>
    </xf>
    <xf numFmtId="0" fontId="14" fillId="3" borderId="37" xfId="2" applyNumberFormat="1" applyFont="1" applyBorder="1" applyAlignment="1" applyProtection="1">
      <protection locked="0"/>
    </xf>
    <xf numFmtId="0" fontId="14" fillId="3" borderId="5" xfId="2" applyNumberFormat="1" applyFont="1" applyBorder="1" applyAlignment="1" applyProtection="1">
      <alignment vertical="top" wrapText="1"/>
      <protection locked="0"/>
    </xf>
    <xf numFmtId="0" fontId="14" fillId="3" borderId="37" xfId="2" applyNumberFormat="1" applyFont="1" applyBorder="1" applyAlignment="1" applyProtection="1">
      <alignment vertical="top" wrapText="1"/>
      <protection locked="0"/>
    </xf>
    <xf numFmtId="0" fontId="14" fillId="3" borderId="3" xfId="2" applyNumberFormat="1" applyFont="1" applyBorder="1" applyAlignment="1" applyProtection="1">
      <alignment vertical="top" wrapText="1"/>
      <protection locked="0"/>
    </xf>
    <xf numFmtId="0" fontId="14" fillId="8" borderId="4" xfId="2" applyNumberFormat="1" applyFont="1" applyFill="1" applyBorder="1" applyAlignment="1" applyProtection="1">
      <protection locked="0"/>
    </xf>
    <xf numFmtId="0" fontId="14" fillId="3" borderId="38" xfId="2" applyNumberFormat="1" applyFont="1" applyBorder="1" applyAlignment="1" applyProtection="1">
      <alignment vertical="top" wrapText="1"/>
      <protection locked="0"/>
    </xf>
    <xf numFmtId="0" fontId="14" fillId="8" borderId="39" xfId="2" applyNumberFormat="1" applyFont="1" applyFill="1" applyBorder="1" applyAlignment="1" applyProtection="1">
      <protection locked="0"/>
    </xf>
    <xf numFmtId="0" fontId="14" fillId="3" borderId="38" xfId="2" applyNumberFormat="1" applyFont="1" applyBorder="1" applyAlignment="1" applyProtection="1">
      <protection locked="0"/>
    </xf>
    <xf numFmtId="165" fontId="16" fillId="2" borderId="9" xfId="3" applyNumberFormat="1" applyFont="1" applyFill="1" applyBorder="1" applyAlignment="1" applyProtection="1">
      <alignment horizontal="center" vertical="center" wrapText="1"/>
    </xf>
    <xf numFmtId="165" fontId="16" fillId="2" borderId="14" xfId="3" applyNumberFormat="1" applyFont="1" applyFill="1" applyBorder="1" applyAlignment="1" applyProtection="1">
      <alignment horizontal="center" vertical="center" wrapText="1"/>
    </xf>
    <xf numFmtId="0" fontId="14" fillId="7" borderId="2" xfId="2" applyNumberFormat="1" applyFont="1" applyFill="1" applyBorder="1" applyAlignment="1" applyProtection="1">
      <alignment vertical="center"/>
      <protection locked="0"/>
    </xf>
    <xf numFmtId="0" fontId="14" fillId="7" borderId="3" xfId="2" applyNumberFormat="1" applyFont="1" applyFill="1" applyBorder="1" applyAlignment="1" applyProtection="1">
      <alignment vertical="center"/>
      <protection locked="0"/>
    </xf>
    <xf numFmtId="0" fontId="14" fillId="7" borderId="4" xfId="2" applyNumberFormat="1" applyFont="1" applyFill="1" applyBorder="1" applyAlignment="1" applyProtection="1">
      <alignment vertical="center"/>
      <protection locked="0"/>
    </xf>
    <xf numFmtId="0" fontId="14" fillId="7" borderId="5" xfId="2" applyNumberFormat="1" applyFont="1" applyFill="1" applyBorder="1" applyAlignment="1" applyProtection="1">
      <alignment vertical="center"/>
      <protection locked="0"/>
    </xf>
    <xf numFmtId="0" fontId="14" fillId="7" borderId="5" xfId="2" applyNumberFormat="1" applyFont="1" applyFill="1" applyBorder="1" applyAlignment="1" applyProtection="1">
      <alignment vertical="center" wrapText="1"/>
      <protection locked="0"/>
    </xf>
    <xf numFmtId="0" fontId="17" fillId="2" borderId="40" xfId="1" applyNumberFormat="1" applyFont="1" applyBorder="1" applyAlignment="1" applyProtection="1">
      <alignment horizontal="center" vertical="center" wrapText="1"/>
    </xf>
    <xf numFmtId="0" fontId="18" fillId="3" borderId="5" xfId="2" applyNumberFormat="1" applyFont="1" applyBorder="1" applyAlignment="1" applyProtection="1">
      <protection locked="0"/>
    </xf>
    <xf numFmtId="0" fontId="17" fillId="2" borderId="41" xfId="1" applyNumberFormat="1" applyFont="1" applyBorder="1" applyAlignment="1" applyProtection="1">
      <alignment horizontal="center" vertical="center" wrapText="1"/>
    </xf>
    <xf numFmtId="0" fontId="17" fillId="2" borderId="1" xfId="1" applyNumberFormat="1" applyFont="1" applyAlignment="1" applyProtection="1">
      <alignment horizontal="center" vertical="center" wrapText="1"/>
    </xf>
    <xf numFmtId="0" fontId="18" fillId="12" borderId="5" xfId="2" applyNumberFormat="1" applyFont="1" applyFill="1" applyBorder="1" applyAlignment="1" applyProtection="1"/>
    <xf numFmtId="164" fontId="17" fillId="2" borderId="1" xfId="1" applyNumberFormat="1" applyFont="1" applyAlignment="1" applyProtection="1">
      <alignment horizontal="center" vertical="center" wrapText="1"/>
    </xf>
    <xf numFmtId="2" fontId="17" fillId="2" borderId="1" xfId="1" applyNumberFormat="1" applyFont="1" applyAlignment="1" applyProtection="1">
      <alignment horizontal="center" vertical="center" wrapText="1"/>
    </xf>
    <xf numFmtId="0" fontId="0" fillId="0" borderId="0" xfId="0" applyFont="1"/>
    <xf numFmtId="0" fontId="17" fillId="13" borderId="7" xfId="0" applyFont="1" applyFill="1" applyBorder="1" applyAlignment="1">
      <alignment horizontal="left" vertical="center"/>
    </xf>
    <xf numFmtId="0" fontId="17" fillId="13" borderId="3" xfId="0" applyFont="1" applyFill="1" applyBorder="1" applyAlignment="1">
      <alignment horizontal="left" vertical="center"/>
    </xf>
    <xf numFmtId="0" fontId="19" fillId="0" borderId="0" xfId="2" applyNumberFormat="1" applyFont="1" applyFill="1" applyBorder="1" applyAlignment="1" applyProtection="1"/>
    <xf numFmtId="0" fontId="20" fillId="13" borderId="7" xfId="0" applyFont="1" applyFill="1" applyBorder="1" applyAlignment="1">
      <alignment horizontal="left" vertical="center"/>
    </xf>
    <xf numFmtId="0" fontId="21" fillId="13" borderId="0" xfId="0" applyFont="1" applyFill="1" applyAlignment="1">
      <alignment vertical="top" wrapText="1"/>
    </xf>
    <xf numFmtId="0" fontId="19" fillId="0" borderId="0" xfId="2" applyNumberFormat="1" applyFont="1" applyFill="1" applyBorder="1" applyAlignment="1" applyProtection="1">
      <protection locked="0"/>
    </xf>
    <xf numFmtId="0" fontId="20" fillId="0" borderId="0" xfId="0" applyFont="1"/>
    <xf numFmtId="0" fontId="19" fillId="3" borderId="2" xfId="2" applyNumberFormat="1" applyFont="1" applyBorder="1" applyAlignment="1" applyProtection="1">
      <protection locked="0"/>
    </xf>
    <xf numFmtId="0" fontId="22" fillId="3" borderId="2" xfId="2" applyNumberFormat="1" applyFont="1" applyBorder="1" applyAlignment="1" applyProtection="1">
      <protection locked="0"/>
    </xf>
    <xf numFmtId="0" fontId="12" fillId="14" borderId="5" xfId="0" applyFont="1" applyFill="1" applyBorder="1"/>
    <xf numFmtId="0" fontId="23" fillId="0" borderId="0" xfId="0" applyFont="1"/>
    <xf numFmtId="0" fontId="14" fillId="15" borderId="3" xfId="2" applyNumberFormat="1" applyFont="1" applyFill="1" applyBorder="1" applyAlignment="1" applyProtection="1">
      <protection locked="0"/>
    </xf>
    <xf numFmtId="0" fontId="0" fillId="16" borderId="0" xfId="0" applyFill="1"/>
    <xf numFmtId="0" fontId="14" fillId="15" borderId="2" xfId="2" applyNumberFormat="1" applyFont="1" applyFill="1" applyBorder="1" applyAlignment="1" applyProtection="1">
      <protection locked="0"/>
    </xf>
    <xf numFmtId="0" fontId="8" fillId="15" borderId="19" xfId="2" applyNumberFormat="1" applyFont="1" applyFill="1" applyBorder="1" applyAlignment="1" applyProtection="1">
      <alignment horizontal="center" vertical="top" wrapText="1"/>
      <protection locked="0"/>
    </xf>
    <xf numFmtId="0" fontId="14" fillId="15" borderId="4" xfId="2" applyNumberFormat="1" applyFont="1" applyFill="1" applyBorder="1" applyAlignment="1" applyProtection="1">
      <protection locked="0"/>
    </xf>
    <xf numFmtId="16" fontId="0" fillId="0" borderId="43" xfId="0" applyNumberFormat="1" applyBorder="1"/>
    <xf numFmtId="0" fontId="0" fillId="0" borderId="44" xfId="0" applyBorder="1"/>
    <xf numFmtId="0" fontId="0" fillId="0" borderId="45" xfId="0" applyBorder="1"/>
    <xf numFmtId="0" fontId="0" fillId="0" borderId="0" xfId="0" applyFill="1"/>
    <xf numFmtId="0" fontId="0" fillId="0" borderId="47" xfId="0" applyBorder="1"/>
    <xf numFmtId="0" fontId="0" fillId="0" borderId="0" xfId="0" applyBorder="1"/>
    <xf numFmtId="0" fontId="0" fillId="0" borderId="0" xfId="0" applyFill="1" applyBorder="1"/>
    <xf numFmtId="0" fontId="0" fillId="0" borderId="36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34" xfId="0" applyBorder="1"/>
    <xf numFmtId="0" fontId="0" fillId="0" borderId="43" xfId="0" applyBorder="1"/>
    <xf numFmtId="0" fontId="8" fillId="0" borderId="52" xfId="1" applyNumberFormat="1" applyFont="1" applyFill="1" applyBorder="1" applyAlignment="1" applyProtection="1">
      <alignment horizontal="center" vertical="center" wrapText="1"/>
    </xf>
    <xf numFmtId="0" fontId="8" fillId="0" borderId="53" xfId="1" applyNumberFormat="1" applyFont="1" applyFill="1" applyBorder="1" applyAlignment="1" applyProtection="1">
      <alignment horizontal="center" vertical="center" wrapText="1"/>
    </xf>
    <xf numFmtId="0" fontId="8" fillId="0" borderId="54" xfId="1" applyNumberFormat="1" applyFont="1" applyFill="1" applyBorder="1" applyAlignment="1" applyProtection="1">
      <alignment horizontal="center" vertical="center" wrapText="1"/>
    </xf>
    <xf numFmtId="0" fontId="8" fillId="0" borderId="55" xfId="1" applyNumberFormat="1" applyFont="1" applyFill="1" applyBorder="1" applyAlignment="1" applyProtection="1">
      <alignment horizontal="center" vertical="center" wrapText="1"/>
    </xf>
    <xf numFmtId="0" fontId="10" fillId="0" borderId="56" xfId="0" applyFont="1" applyBorder="1"/>
    <xf numFmtId="0" fontId="10" fillId="0" borderId="37" xfId="0" applyFont="1" applyBorder="1"/>
    <xf numFmtId="0" fontId="10" fillId="0" borderId="38" xfId="0" applyFont="1" applyBorder="1"/>
    <xf numFmtId="0" fontId="10" fillId="0" borderId="57" xfId="0" applyFont="1" applyBorder="1"/>
    <xf numFmtId="0" fontId="10" fillId="0" borderId="46" xfId="0" applyFont="1" applyBorder="1"/>
    <xf numFmtId="0" fontId="8" fillId="6" borderId="21" xfId="1" applyNumberFormat="1" applyFont="1" applyFill="1" applyBorder="1" applyAlignment="1" applyProtection="1">
      <alignment horizontal="center" vertical="center" wrapText="1"/>
    </xf>
    <xf numFmtId="165" fontId="8" fillId="2" borderId="58" xfId="3" applyNumberFormat="1" applyFont="1" applyFill="1" applyBorder="1" applyAlignment="1" applyProtection="1">
      <alignment horizontal="center" vertical="center" wrapText="1"/>
    </xf>
    <xf numFmtId="0" fontId="0" fillId="0" borderId="59" xfId="0" applyBorder="1"/>
    <xf numFmtId="16" fontId="0" fillId="0" borderId="6" xfId="0" applyNumberFormat="1" applyBorder="1"/>
    <xf numFmtId="0" fontId="0" fillId="0" borderId="60" xfId="0" applyFill="1" applyBorder="1"/>
    <xf numFmtId="0" fontId="0" fillId="0" borderId="60" xfId="0" applyBorder="1"/>
    <xf numFmtId="0" fontId="0" fillId="17" borderId="60" xfId="0" applyFill="1" applyBorder="1"/>
    <xf numFmtId="0" fontId="0" fillId="0" borderId="5" xfId="0" applyBorder="1"/>
    <xf numFmtId="0" fontId="0" fillId="0" borderId="61" xfId="0" applyBorder="1"/>
    <xf numFmtId="1" fontId="10" fillId="0" borderId="51" xfId="0" applyNumberFormat="1" applyFont="1" applyFill="1" applyBorder="1"/>
    <xf numFmtId="1" fontId="10" fillId="0" borderId="42" xfId="0" applyNumberFormat="1" applyFont="1" applyFill="1" applyBorder="1"/>
    <xf numFmtId="0" fontId="0" fillId="17" borderId="0" xfId="0" applyFill="1"/>
    <xf numFmtId="0" fontId="26" fillId="0" borderId="0" xfId="0" applyFont="1"/>
    <xf numFmtId="0" fontId="26" fillId="18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18" borderId="0" xfId="0" applyFill="1"/>
    <xf numFmtId="0" fontId="0" fillId="19" borderId="0" xfId="0" applyFill="1"/>
    <xf numFmtId="16" fontId="0" fillId="0" borderId="5" xfId="0" applyNumberFormat="1" applyBorder="1"/>
    <xf numFmtId="0" fontId="29" fillId="0" borderId="0" xfId="0" applyFont="1" applyAlignment="1">
      <alignment horizontal="left" vertical="center" wrapText="1" indent="2"/>
    </xf>
    <xf numFmtId="0" fontId="29" fillId="18" borderId="0" xfId="0" applyFont="1" applyFill="1" applyAlignment="1">
      <alignment horizontal="left" vertical="center" wrapText="1" indent="2"/>
    </xf>
    <xf numFmtId="0" fontId="29" fillId="0" borderId="5" xfId="0" applyFont="1" applyBorder="1" applyAlignment="1">
      <alignment horizontal="left" vertical="center" wrapText="1" indent="2"/>
    </xf>
    <xf numFmtId="0" fontId="29" fillId="17" borderId="5" xfId="0" applyFont="1" applyFill="1" applyBorder="1" applyAlignment="1">
      <alignment horizontal="left" vertical="center" wrapText="1" indent="2"/>
    </xf>
    <xf numFmtId="0" fontId="30" fillId="2" borderId="32" xfId="1" applyNumberFormat="1" applyFont="1" applyBorder="1" applyAlignment="1" applyProtection="1">
      <alignment horizontal="center" vertical="top" wrapText="1"/>
    </xf>
    <xf numFmtId="0" fontId="31" fillId="7" borderId="2" xfId="2" applyNumberFormat="1" applyFont="1" applyFill="1" applyBorder="1" applyAlignment="1" applyProtection="1">
      <alignment vertical="center"/>
      <protection locked="0"/>
    </xf>
    <xf numFmtId="0" fontId="31" fillId="3" borderId="2" xfId="2" applyNumberFormat="1" applyFont="1" applyBorder="1" applyAlignment="1" applyProtection="1">
      <protection locked="0"/>
    </xf>
    <xf numFmtId="0" fontId="31" fillId="15" borderId="2" xfId="2" applyNumberFormat="1" applyFont="1" applyFill="1" applyBorder="1" applyAlignment="1" applyProtection="1">
      <protection locked="0"/>
    </xf>
    <xf numFmtId="0" fontId="31" fillId="8" borderId="2" xfId="2" applyNumberFormat="1" applyFont="1" applyFill="1" applyBorder="1" applyAlignment="1" applyProtection="1">
      <protection locked="0"/>
    </xf>
    <xf numFmtId="0" fontId="31" fillId="8" borderId="33" xfId="2" applyNumberFormat="1" applyFont="1" applyFill="1" applyBorder="1" applyAlignment="1" applyProtection="1">
      <protection locked="0"/>
    </xf>
    <xf numFmtId="0" fontId="32" fillId="3" borderId="33" xfId="2" applyNumberFormat="1" applyFont="1" applyBorder="1" applyAlignment="1" applyProtection="1">
      <protection locked="0"/>
    </xf>
    <xf numFmtId="0" fontId="31" fillId="3" borderId="3" xfId="2" applyNumberFormat="1" applyFont="1" applyBorder="1" applyAlignment="1" applyProtection="1">
      <protection locked="0"/>
    </xf>
    <xf numFmtId="0" fontId="31" fillId="15" borderId="3" xfId="2" applyNumberFormat="1" applyFont="1" applyFill="1" applyBorder="1" applyAlignment="1" applyProtection="1">
      <protection locked="0"/>
    </xf>
    <xf numFmtId="0" fontId="31" fillId="8" borderId="3" xfId="2" applyNumberFormat="1" applyFont="1" applyFill="1" applyBorder="1" applyAlignment="1" applyProtection="1">
      <protection locked="0"/>
    </xf>
    <xf numFmtId="0" fontId="31" fillId="8" borderId="35" xfId="2" applyNumberFormat="1" applyFont="1" applyFill="1" applyBorder="1" applyAlignment="1" applyProtection="1">
      <protection locked="0"/>
    </xf>
    <xf numFmtId="0" fontId="31" fillId="7" borderId="4" xfId="2" applyNumberFormat="1" applyFont="1" applyFill="1" applyBorder="1" applyAlignment="1" applyProtection="1">
      <alignment vertical="center"/>
      <protection locked="0"/>
    </xf>
    <xf numFmtId="0" fontId="31" fillId="3" borderId="4" xfId="2" applyNumberFormat="1" applyFont="1" applyBorder="1" applyAlignment="1" applyProtection="1">
      <protection locked="0"/>
    </xf>
    <xf numFmtId="0" fontId="31" fillId="7" borderId="5" xfId="2" applyNumberFormat="1" applyFont="1" applyFill="1" applyBorder="1" applyAlignment="1" applyProtection="1">
      <alignment vertical="center"/>
      <protection locked="0"/>
    </xf>
    <xf numFmtId="0" fontId="31" fillId="3" borderId="5" xfId="2" applyNumberFormat="1" applyFont="1" applyBorder="1" applyAlignment="1" applyProtection="1">
      <protection locked="0"/>
    </xf>
    <xf numFmtId="0" fontId="31" fillId="3" borderId="37" xfId="2" applyNumberFormat="1" applyFont="1" applyBorder="1" applyAlignment="1" applyProtection="1">
      <protection locked="0"/>
    </xf>
    <xf numFmtId="0" fontId="31" fillId="7" borderId="5" xfId="2" applyNumberFormat="1" applyFont="1" applyFill="1" applyBorder="1" applyAlignment="1" applyProtection="1">
      <alignment vertical="center" wrapText="1"/>
      <protection locked="0"/>
    </xf>
    <xf numFmtId="0" fontId="31" fillId="3" borderId="5" xfId="2" applyNumberFormat="1" applyFont="1" applyBorder="1" applyAlignment="1" applyProtection="1">
      <alignment vertical="top" wrapText="1"/>
      <protection locked="0"/>
    </xf>
    <xf numFmtId="0" fontId="31" fillId="3" borderId="37" xfId="2" applyNumberFormat="1" applyFont="1" applyBorder="1" applyAlignment="1" applyProtection="1">
      <alignment vertical="top" wrapText="1"/>
      <protection locked="0"/>
    </xf>
    <xf numFmtId="0" fontId="31" fillId="3" borderId="3" xfId="2" applyNumberFormat="1" applyFont="1" applyBorder="1" applyAlignment="1" applyProtection="1">
      <alignment vertical="top" wrapText="1"/>
      <protection locked="0"/>
    </xf>
    <xf numFmtId="0" fontId="31" fillId="8" borderId="4" xfId="2" applyNumberFormat="1" applyFont="1" applyFill="1" applyBorder="1" applyAlignment="1" applyProtection="1">
      <protection locked="0"/>
    </xf>
    <xf numFmtId="0" fontId="31" fillId="3" borderId="38" xfId="2" applyNumberFormat="1" applyFont="1" applyBorder="1" applyAlignment="1" applyProtection="1">
      <alignment vertical="top" wrapText="1"/>
      <protection locked="0"/>
    </xf>
    <xf numFmtId="0" fontId="31" fillId="15" borderId="4" xfId="2" applyNumberFormat="1" applyFont="1" applyFill="1" applyBorder="1" applyAlignment="1" applyProtection="1">
      <protection locked="0"/>
    </xf>
    <xf numFmtId="0" fontId="31" fillId="8" borderId="39" xfId="2" applyNumberFormat="1" applyFont="1" applyFill="1" applyBorder="1" applyAlignment="1" applyProtection="1">
      <protection locked="0"/>
    </xf>
    <xf numFmtId="0" fontId="31" fillId="3" borderId="38" xfId="2" applyNumberFormat="1" applyFont="1" applyBorder="1" applyAlignment="1" applyProtection="1">
      <protection locked="0"/>
    </xf>
    <xf numFmtId="0" fontId="0" fillId="17" borderId="0" xfId="0" applyFill="1" applyBorder="1"/>
    <xf numFmtId="16" fontId="0" fillId="0" borderId="43" xfId="0" applyNumberFormat="1" applyFill="1" applyBorder="1"/>
    <xf numFmtId="0" fontId="0" fillId="0" borderId="48" xfId="0" applyFill="1" applyBorder="1"/>
    <xf numFmtId="0" fontId="0" fillId="0" borderId="43" xfId="0" applyFill="1" applyBorder="1"/>
    <xf numFmtId="16" fontId="0" fillId="20" borderId="43" xfId="0" applyNumberFormat="1" applyFill="1" applyBorder="1"/>
    <xf numFmtId="0" fontId="0" fillId="20" borderId="0" xfId="0" applyFill="1"/>
    <xf numFmtId="0" fontId="0" fillId="19" borderId="0" xfId="0" applyFill="1" applyBorder="1"/>
    <xf numFmtId="0" fontId="0" fillId="21" borderId="0" xfId="0" applyFill="1" applyBorder="1"/>
    <xf numFmtId="0" fontId="14" fillId="22" borderId="3" xfId="2" applyNumberFormat="1" applyFont="1" applyFill="1" applyBorder="1" applyAlignment="1" applyProtection="1">
      <protection locked="0"/>
    </xf>
    <xf numFmtId="0" fontId="14" fillId="22" borderId="35" xfId="2" applyNumberFormat="1" applyFont="1" applyFill="1" applyBorder="1" applyAlignment="1" applyProtection="1">
      <protection locked="0"/>
    </xf>
    <xf numFmtId="1" fontId="10" fillId="17" borderId="42" xfId="0" applyNumberFormat="1" applyFont="1" applyFill="1" applyBorder="1"/>
    <xf numFmtId="1" fontId="10" fillId="21" borderId="42" xfId="0" applyNumberFormat="1" applyFont="1" applyFill="1" applyBorder="1"/>
    <xf numFmtId="1" fontId="10" fillId="19" borderId="42" xfId="0" applyNumberFormat="1" applyFont="1" applyFill="1" applyBorder="1"/>
    <xf numFmtId="0" fontId="14" fillId="23" borderId="3" xfId="2" applyNumberFormat="1" applyFont="1" applyFill="1" applyBorder="1" applyAlignment="1" applyProtection="1">
      <protection locked="0"/>
    </xf>
    <xf numFmtId="1" fontId="10" fillId="17" borderId="51" xfId="0" applyNumberFormat="1" applyFont="1" applyFill="1" applyBorder="1"/>
    <xf numFmtId="0" fontId="0" fillId="0" borderId="43" xfId="0" applyBorder="1" applyAlignment="1">
      <alignment horizontal="center"/>
    </xf>
  </cellXfs>
  <cellStyles count="4">
    <cellStyle name="Excel_BuiltIn_Вывод 1" xfId="1"/>
    <cellStyle name="Excel_BuiltIn_Хороший 1" xfId="2"/>
    <cellStyle name="Обычный" xfId="0" builtinId="0"/>
    <cellStyle name="Финансовый" xfId="3" builtinId="3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zoomScale="70" zoomScaleNormal="70" workbookViewId="0">
      <selection activeCell="T8" sqref="T8"/>
    </sheetView>
  </sheetViews>
  <sheetFormatPr defaultRowHeight="15" x14ac:dyDescent="0.25"/>
  <cols>
    <col min="2" max="2" width="37.5703125" customWidth="1"/>
    <col min="4" max="4" width="13.140625" customWidth="1"/>
  </cols>
  <sheetData>
    <row r="1" spans="1:24" ht="21.75" thickBot="1" x14ac:dyDescent="0.4">
      <c r="A1" s="91" t="s">
        <v>44</v>
      </c>
    </row>
    <row r="2" spans="1:24" ht="77.25" thickBot="1" x14ac:dyDescent="0.3">
      <c r="A2" s="141" t="s">
        <v>45</v>
      </c>
      <c r="B2" s="29" t="s">
        <v>0</v>
      </c>
      <c r="C2" s="29" t="s">
        <v>14</v>
      </c>
      <c r="D2" s="30" t="s">
        <v>1</v>
      </c>
      <c r="E2" s="31" t="s">
        <v>17</v>
      </c>
      <c r="F2" s="31" t="s">
        <v>23</v>
      </c>
      <c r="G2" s="31" t="s">
        <v>24</v>
      </c>
      <c r="H2" s="31" t="s">
        <v>25</v>
      </c>
      <c r="I2" s="31" t="s">
        <v>26</v>
      </c>
      <c r="J2" s="95" t="s">
        <v>37</v>
      </c>
      <c r="K2" s="95" t="s">
        <v>27</v>
      </c>
      <c r="L2" s="31" t="s">
        <v>28</v>
      </c>
      <c r="M2" s="31" t="s">
        <v>29</v>
      </c>
      <c r="N2" s="32" t="s">
        <v>30</v>
      </c>
      <c r="O2" s="31" t="s">
        <v>31</v>
      </c>
      <c r="P2" s="33" t="s">
        <v>32</v>
      </c>
      <c r="Q2" s="34" t="s">
        <v>33</v>
      </c>
      <c r="R2" s="35" t="s">
        <v>34</v>
      </c>
      <c r="S2" s="36" t="s">
        <v>35</v>
      </c>
      <c r="T2" s="45" t="s">
        <v>2</v>
      </c>
      <c r="U2" s="37" t="s">
        <v>3</v>
      </c>
      <c r="V2" s="29" t="s">
        <v>4</v>
      </c>
      <c r="W2" s="38" t="s">
        <v>5</v>
      </c>
      <c r="X2" s="14"/>
    </row>
    <row r="3" spans="1:24" ht="15.75" thickBot="1" x14ac:dyDescent="0.3">
      <c r="A3" s="22"/>
      <c r="B3" s="119" t="s">
        <v>16</v>
      </c>
      <c r="C3" s="23"/>
      <c r="D3" s="23"/>
      <c r="E3" s="23"/>
      <c r="F3" s="23">
        <v>5</v>
      </c>
      <c r="G3" s="23">
        <v>5</v>
      </c>
      <c r="H3" s="23">
        <v>10</v>
      </c>
      <c r="I3" s="23">
        <v>20</v>
      </c>
      <c r="J3" s="23">
        <v>20</v>
      </c>
      <c r="K3" s="23">
        <v>30</v>
      </c>
      <c r="L3" s="23">
        <v>15</v>
      </c>
      <c r="M3" s="23">
        <v>15</v>
      </c>
      <c r="N3" s="23">
        <v>25</v>
      </c>
      <c r="O3" s="23">
        <v>5</v>
      </c>
      <c r="P3" s="23">
        <v>20</v>
      </c>
      <c r="Q3" s="23">
        <v>20</v>
      </c>
      <c r="R3" s="23">
        <v>30</v>
      </c>
      <c r="S3" s="24">
        <v>20</v>
      </c>
      <c r="T3" s="25">
        <f>SUM(E3:S3)</f>
        <v>240</v>
      </c>
      <c r="U3" s="26"/>
      <c r="V3" s="27"/>
      <c r="W3" s="28"/>
      <c r="X3" s="7"/>
    </row>
    <row r="4" spans="1:24" ht="40.5" x14ac:dyDescent="0.25">
      <c r="A4" s="110">
        <v>1</v>
      </c>
      <c r="B4" s="139" t="s">
        <v>70</v>
      </c>
      <c r="C4" s="114"/>
      <c r="D4" s="68" t="str">
        <f t="shared" ref="D4:D11" si="0">IF((T4*100/$K$19)&gt;$M$20,$N$20,IF((T4*100/$K$19)&gt;$M$21,$N$21,IF((T4*100/$K$19)&gt;$M$22,$N$22,IF((T4*100/$K$19)&gt;$M$23,$N$23,"не приступал"))))</f>
        <v>не приступал</v>
      </c>
      <c r="E4" s="47"/>
      <c r="F4" s="47"/>
      <c r="G4" s="47"/>
      <c r="H4" s="47"/>
      <c r="I4" s="47"/>
      <c r="J4" s="94"/>
      <c r="K4" s="94"/>
      <c r="L4" s="47"/>
      <c r="M4" s="47"/>
      <c r="N4" s="48"/>
      <c r="O4" s="47"/>
      <c r="P4" s="48"/>
      <c r="Q4" s="49"/>
      <c r="R4" s="50"/>
      <c r="S4" s="51"/>
      <c r="T4" s="128">
        <f t="shared" ref="T4:T10" si="1">SUM(E4:S4)</f>
        <v>0</v>
      </c>
      <c r="U4" s="21">
        <f t="shared" ref="U4:U11" si="2">T4*$G$19/$G$20</f>
        <v>0</v>
      </c>
      <c r="V4" s="90">
        <f t="shared" ref="V4:V11" si="3">RANK(T4,T$4:T$11,0)</f>
        <v>5</v>
      </c>
      <c r="W4" s="40">
        <f t="shared" ref="W4:W11" si="4">ROUND(U4/MAX($U$4:$U$11)*100,0)</f>
        <v>0</v>
      </c>
      <c r="X4" s="7"/>
    </row>
    <row r="5" spans="1:24" ht="40.5" x14ac:dyDescent="0.25">
      <c r="A5" s="111">
        <v>2</v>
      </c>
      <c r="B5" s="140" t="s">
        <v>71</v>
      </c>
      <c r="C5" s="115"/>
      <c r="D5" s="69">
        <f t="shared" si="0"/>
        <v>5</v>
      </c>
      <c r="E5" s="52"/>
      <c r="F5" s="52">
        <v>5</v>
      </c>
      <c r="G5" s="52">
        <v>4</v>
      </c>
      <c r="H5" s="52">
        <v>8</v>
      </c>
      <c r="I5" s="52">
        <v>10</v>
      </c>
      <c r="J5" s="92">
        <f>5+3+6</f>
        <v>14</v>
      </c>
      <c r="K5" s="92">
        <f>5+5+4</f>
        <v>14</v>
      </c>
      <c r="L5" s="52">
        <f>2+2</f>
        <v>4</v>
      </c>
      <c r="M5" s="52"/>
      <c r="N5" s="53">
        <f>10+10</f>
        <v>20</v>
      </c>
      <c r="O5" s="52">
        <f>1+2+2</f>
        <v>5</v>
      </c>
      <c r="P5" s="174">
        <v>11</v>
      </c>
      <c r="Q5" s="175">
        <v>11</v>
      </c>
      <c r="R5" s="50"/>
      <c r="S5" s="55"/>
      <c r="T5" s="129">
        <f>SUM(E5:S5)</f>
        <v>106</v>
      </c>
      <c r="U5" s="15">
        <f t="shared" si="2"/>
        <v>114.48</v>
      </c>
      <c r="V5" s="90">
        <f t="shared" si="3"/>
        <v>1</v>
      </c>
      <c r="W5" s="42">
        <f t="shared" si="4"/>
        <v>100</v>
      </c>
      <c r="X5" s="7"/>
    </row>
    <row r="6" spans="1:24" ht="40.5" x14ac:dyDescent="0.25">
      <c r="A6" s="112">
        <v>3</v>
      </c>
      <c r="B6" s="139" t="s">
        <v>72</v>
      </c>
      <c r="C6" s="116"/>
      <c r="D6" s="70" t="str">
        <f t="shared" si="0"/>
        <v>не приступал</v>
      </c>
      <c r="E6" s="56"/>
      <c r="F6" s="56"/>
      <c r="G6" s="56"/>
      <c r="H6" s="52"/>
      <c r="I6" s="52"/>
      <c r="J6" s="92"/>
      <c r="K6" s="92"/>
      <c r="L6" s="52"/>
      <c r="M6" s="52"/>
      <c r="N6" s="53"/>
      <c r="P6" s="53"/>
      <c r="Q6" s="54"/>
      <c r="R6" s="50"/>
      <c r="S6" s="55"/>
      <c r="T6" s="129">
        <f t="shared" si="1"/>
        <v>0</v>
      </c>
      <c r="U6" s="15">
        <f t="shared" si="2"/>
        <v>0</v>
      </c>
      <c r="V6" s="90">
        <f t="shared" si="3"/>
        <v>5</v>
      </c>
      <c r="W6" s="42">
        <f t="shared" si="4"/>
        <v>0</v>
      </c>
      <c r="X6" s="7"/>
    </row>
    <row r="7" spans="1:24" ht="40.5" x14ac:dyDescent="0.25">
      <c r="A7" s="113">
        <v>4</v>
      </c>
      <c r="B7" s="140" t="s">
        <v>73</v>
      </c>
      <c r="C7" s="117"/>
      <c r="D7" s="71" t="str">
        <f t="shared" si="0"/>
        <v>не приступал</v>
      </c>
      <c r="E7" s="57"/>
      <c r="F7" s="57"/>
      <c r="G7" s="57"/>
      <c r="H7" s="58"/>
      <c r="I7" s="52"/>
      <c r="J7" s="92"/>
      <c r="K7" s="92"/>
      <c r="L7" s="52"/>
      <c r="M7" s="52"/>
      <c r="N7" s="53"/>
      <c r="O7" s="52">
        <f>1</f>
        <v>1</v>
      </c>
      <c r="P7" s="53"/>
      <c r="Q7" s="54"/>
      <c r="R7" s="50"/>
      <c r="S7" s="55"/>
      <c r="T7" s="129">
        <f t="shared" si="1"/>
        <v>1</v>
      </c>
      <c r="U7" s="15">
        <f t="shared" si="2"/>
        <v>1.08</v>
      </c>
      <c r="V7" s="90">
        <f t="shared" si="3"/>
        <v>4</v>
      </c>
      <c r="W7" s="42">
        <f t="shared" si="4"/>
        <v>1</v>
      </c>
      <c r="X7" s="7"/>
    </row>
    <row r="8" spans="1:24" ht="40.5" x14ac:dyDescent="0.25">
      <c r="A8" s="113">
        <v>5</v>
      </c>
      <c r="B8" s="140" t="s">
        <v>74</v>
      </c>
      <c r="C8" s="117"/>
      <c r="D8" s="72">
        <f t="shared" si="0"/>
        <v>5</v>
      </c>
      <c r="E8" s="59"/>
      <c r="F8" s="59">
        <v>4</v>
      </c>
      <c r="G8" s="59"/>
      <c r="H8" s="60"/>
      <c r="I8" s="61"/>
      <c r="J8" s="92">
        <f>14+5</f>
        <v>19</v>
      </c>
      <c r="K8" s="92">
        <f>14+5</f>
        <v>19</v>
      </c>
      <c r="L8" s="52"/>
      <c r="M8" s="52"/>
      <c r="N8" s="62">
        <v>15</v>
      </c>
      <c r="O8" s="52">
        <f>1</f>
        <v>1</v>
      </c>
      <c r="P8" s="53">
        <v>9</v>
      </c>
      <c r="Q8" s="54">
        <v>17</v>
      </c>
      <c r="R8" s="50"/>
      <c r="S8" s="55"/>
      <c r="T8" s="176">
        <f t="shared" si="1"/>
        <v>84</v>
      </c>
      <c r="U8" s="15">
        <f t="shared" si="2"/>
        <v>90.72</v>
      </c>
      <c r="V8" s="90">
        <f t="shared" si="3"/>
        <v>3</v>
      </c>
      <c r="W8" s="42">
        <f t="shared" si="4"/>
        <v>79</v>
      </c>
      <c r="X8" s="7"/>
    </row>
    <row r="9" spans="1:24" ht="40.5" x14ac:dyDescent="0.25">
      <c r="A9" s="113">
        <v>6</v>
      </c>
      <c r="B9" s="140" t="s">
        <v>75</v>
      </c>
      <c r="C9" s="117"/>
      <c r="D9" s="72" t="str">
        <f t="shared" si="0"/>
        <v>не приступал</v>
      </c>
      <c r="E9" s="59"/>
      <c r="F9" s="59"/>
      <c r="G9" s="59"/>
      <c r="H9" s="63"/>
      <c r="I9" s="63"/>
      <c r="J9" s="96"/>
      <c r="K9" s="96"/>
      <c r="L9" s="56"/>
      <c r="M9" s="56"/>
      <c r="N9" s="62"/>
      <c r="O9" s="56"/>
      <c r="P9" s="62"/>
      <c r="Q9" s="64"/>
      <c r="R9" s="50"/>
      <c r="S9" s="55"/>
      <c r="T9" s="129">
        <f t="shared" si="1"/>
        <v>0</v>
      </c>
      <c r="U9" s="15">
        <f t="shared" si="2"/>
        <v>0</v>
      </c>
      <c r="V9" s="90">
        <f t="shared" si="3"/>
        <v>5</v>
      </c>
      <c r="W9" s="42">
        <f t="shared" si="4"/>
        <v>0</v>
      </c>
      <c r="X9" s="7"/>
    </row>
    <row r="10" spans="1:24" ht="40.5" x14ac:dyDescent="0.25">
      <c r="A10" s="113">
        <v>7</v>
      </c>
      <c r="B10" s="139" t="s">
        <v>76</v>
      </c>
      <c r="C10" s="117"/>
      <c r="D10" s="71" t="str">
        <f t="shared" si="0"/>
        <v>не приступал</v>
      </c>
      <c r="E10" s="57"/>
      <c r="F10" s="63"/>
      <c r="G10" s="63"/>
      <c r="H10" s="63"/>
      <c r="I10" s="65"/>
      <c r="J10" s="92"/>
      <c r="K10" s="96"/>
      <c r="L10" s="63"/>
      <c r="M10" s="63"/>
      <c r="N10" s="62"/>
      <c r="O10" s="56"/>
      <c r="P10" s="62"/>
      <c r="Q10" s="62"/>
      <c r="R10" s="50"/>
      <c r="S10" s="55"/>
      <c r="T10" s="129">
        <f t="shared" si="1"/>
        <v>0</v>
      </c>
      <c r="U10" s="15">
        <f t="shared" si="2"/>
        <v>0</v>
      </c>
      <c r="V10" s="90">
        <f t="shared" si="3"/>
        <v>5</v>
      </c>
      <c r="W10" s="42">
        <f t="shared" si="4"/>
        <v>0</v>
      </c>
      <c r="X10" s="7"/>
    </row>
    <row r="11" spans="1:24" ht="41.25" thickBot="1" x14ac:dyDescent="0.3">
      <c r="A11" s="113">
        <v>8</v>
      </c>
      <c r="B11" s="140" t="s">
        <v>77</v>
      </c>
      <c r="C11" s="118"/>
      <c r="D11" s="71">
        <f t="shared" si="0"/>
        <v>5</v>
      </c>
      <c r="E11" s="57"/>
      <c r="F11" s="57">
        <f>5+1</f>
        <v>6</v>
      </c>
      <c r="G11" s="57"/>
      <c r="H11" s="63">
        <v>6</v>
      </c>
      <c r="I11" s="65"/>
      <c r="J11" s="96">
        <v>15</v>
      </c>
      <c r="K11" s="96">
        <v>10</v>
      </c>
      <c r="L11" s="56">
        <v>15</v>
      </c>
      <c r="M11" s="56"/>
      <c r="N11" s="62">
        <f>4+15</f>
        <v>19</v>
      </c>
      <c r="O11" s="52">
        <f>1+6+2</f>
        <v>9</v>
      </c>
      <c r="P11" s="62">
        <f>1+5</f>
        <v>6</v>
      </c>
      <c r="Q11" s="64">
        <f>1+8</f>
        <v>9</v>
      </c>
      <c r="R11" s="50"/>
      <c r="S11" s="55"/>
      <c r="T11" s="176">
        <f>SUM(E11:S11)</f>
        <v>95</v>
      </c>
      <c r="U11" s="15">
        <f t="shared" si="2"/>
        <v>102.6</v>
      </c>
      <c r="V11" s="90">
        <f t="shared" si="3"/>
        <v>2</v>
      </c>
      <c r="W11" s="42">
        <f t="shared" si="4"/>
        <v>90</v>
      </c>
      <c r="X11" s="7"/>
    </row>
    <row r="12" spans="1:24" ht="15.75" thickBot="1" x14ac:dyDescent="0.3">
      <c r="A12" s="16"/>
      <c r="B12" s="120" t="s">
        <v>15</v>
      </c>
      <c r="C12" s="17"/>
      <c r="D12" s="66"/>
      <c r="E12" s="66">
        <f t="shared" ref="E12:U12" si="5">SUM(E4:E11)</f>
        <v>0</v>
      </c>
      <c r="F12" s="66">
        <f t="shared" si="5"/>
        <v>15</v>
      </c>
      <c r="G12" s="66">
        <f t="shared" si="5"/>
        <v>4</v>
      </c>
      <c r="H12" s="66">
        <f t="shared" si="5"/>
        <v>14</v>
      </c>
      <c r="I12" s="66">
        <f t="shared" si="5"/>
        <v>10</v>
      </c>
      <c r="J12" s="66">
        <f t="shared" si="5"/>
        <v>48</v>
      </c>
      <c r="K12" s="66">
        <f t="shared" si="5"/>
        <v>43</v>
      </c>
      <c r="L12" s="66">
        <f t="shared" si="5"/>
        <v>19</v>
      </c>
      <c r="M12" s="66">
        <f t="shared" si="5"/>
        <v>0</v>
      </c>
      <c r="N12" s="66">
        <f t="shared" si="5"/>
        <v>54</v>
      </c>
      <c r="O12" s="66">
        <f t="shared" si="5"/>
        <v>16</v>
      </c>
      <c r="P12" s="66">
        <f t="shared" si="5"/>
        <v>26</v>
      </c>
      <c r="Q12" s="66">
        <f t="shared" si="5"/>
        <v>37</v>
      </c>
      <c r="R12" s="66">
        <f t="shared" si="5"/>
        <v>0</v>
      </c>
      <c r="S12" s="67">
        <f t="shared" si="5"/>
        <v>0</v>
      </c>
      <c r="T12" s="18">
        <f t="shared" si="5"/>
        <v>286</v>
      </c>
      <c r="U12" s="19">
        <f t="shared" si="5"/>
        <v>308.88</v>
      </c>
      <c r="V12" s="17"/>
      <c r="W12" s="20">
        <f>SUM(W4:W11)</f>
        <v>270</v>
      </c>
      <c r="X12" s="13"/>
    </row>
    <row r="13" spans="1:24" x14ac:dyDescent="0.25">
      <c r="B13" s="132"/>
      <c r="C13" s="133" t="s">
        <v>84</v>
      </c>
      <c r="D13" t="s">
        <v>85</v>
      </c>
    </row>
    <row r="14" spans="1:24" x14ac:dyDescent="0.25">
      <c r="B14" s="6" t="s">
        <v>18</v>
      </c>
      <c r="C14" s="93"/>
      <c r="D14" t="s">
        <v>39</v>
      </c>
    </row>
    <row r="15" spans="1:24" x14ac:dyDescent="0.25">
      <c r="C15" s="5"/>
      <c r="D15" t="s">
        <v>19</v>
      </c>
    </row>
    <row r="16" spans="1:24" x14ac:dyDescent="0.25">
      <c r="C16" s="1"/>
      <c r="D16" t="s">
        <v>6</v>
      </c>
      <c r="E16" t="s">
        <v>20</v>
      </c>
      <c r="P16" t="s">
        <v>36</v>
      </c>
    </row>
    <row r="17" spans="1:24" x14ac:dyDescent="0.25">
      <c r="A17" s="80"/>
      <c r="E17" t="s">
        <v>21</v>
      </c>
      <c r="P17" s="90"/>
      <c r="Q17" t="s">
        <v>38</v>
      </c>
      <c r="W17" s="80"/>
      <c r="X17" s="80"/>
    </row>
    <row r="18" spans="1:24" x14ac:dyDescent="0.25">
      <c r="A18" s="80"/>
      <c r="E18" t="s">
        <v>22</v>
      </c>
      <c r="W18" s="80"/>
      <c r="X18" s="80"/>
    </row>
    <row r="19" spans="1:24" ht="38.25" x14ac:dyDescent="0.25">
      <c r="B19" s="73" t="s">
        <v>7</v>
      </c>
      <c r="C19" s="74">
        <f>COUNT(A4:A11)</f>
        <v>8</v>
      </c>
      <c r="D19" s="75" t="s">
        <v>8</v>
      </c>
      <c r="E19" s="76"/>
      <c r="F19" s="73"/>
      <c r="G19" s="77">
        <f>C20*36</f>
        <v>108</v>
      </c>
      <c r="H19" s="83"/>
      <c r="I19" s="83"/>
      <c r="J19" s="73" t="s">
        <v>9</v>
      </c>
      <c r="K19" s="74">
        <v>30</v>
      </c>
      <c r="L19" s="81" t="s">
        <v>10</v>
      </c>
      <c r="M19" s="84"/>
      <c r="N19" s="82" t="s">
        <v>11</v>
      </c>
      <c r="O19" s="78">
        <f>T12/C19</f>
        <v>35.75</v>
      </c>
      <c r="P19" s="79">
        <f>U12/($C$19)</f>
        <v>38.61</v>
      </c>
      <c r="Q19" s="80"/>
      <c r="R19" s="80"/>
      <c r="S19" s="80"/>
      <c r="T19" s="80"/>
      <c r="U19" s="80"/>
      <c r="V19" s="80"/>
    </row>
    <row r="20" spans="1:24" ht="38.25" x14ac:dyDescent="0.25">
      <c r="B20" s="85" t="s">
        <v>12</v>
      </c>
      <c r="C20" s="74">
        <v>3</v>
      </c>
      <c r="D20" s="75" t="s">
        <v>13</v>
      </c>
      <c r="E20" s="76"/>
      <c r="F20" s="73"/>
      <c r="G20" s="74">
        <v>100</v>
      </c>
      <c r="H20" s="86"/>
      <c r="I20" s="86"/>
      <c r="J20" s="87"/>
      <c r="K20" s="87"/>
      <c r="L20" s="88">
        <v>100</v>
      </c>
      <c r="M20" s="88">
        <v>86.1</v>
      </c>
      <c r="N20" s="89">
        <v>5</v>
      </c>
      <c r="O20" s="87"/>
      <c r="P20" s="87"/>
      <c r="Q20" s="80"/>
      <c r="R20" s="80"/>
      <c r="S20" s="80"/>
      <c r="T20" s="80"/>
      <c r="U20" s="80"/>
      <c r="V20" s="80"/>
    </row>
    <row r="21" spans="1:24" x14ac:dyDescent="0.25">
      <c r="B21" s="4"/>
      <c r="L21" s="2">
        <v>86</v>
      </c>
      <c r="M21" s="2">
        <v>69.099999999999994</v>
      </c>
      <c r="N21" s="3">
        <v>4</v>
      </c>
    </row>
    <row r="22" spans="1:24" x14ac:dyDescent="0.25">
      <c r="L22" s="2">
        <v>69</v>
      </c>
      <c r="M22" s="2">
        <v>53.1</v>
      </c>
      <c r="N22" s="3">
        <v>3</v>
      </c>
    </row>
    <row r="23" spans="1:24" x14ac:dyDescent="0.25">
      <c r="L23" s="2">
        <v>53</v>
      </c>
      <c r="M23" s="2">
        <v>36</v>
      </c>
      <c r="N23" s="3">
        <v>2</v>
      </c>
    </row>
  </sheetData>
  <phoneticPr fontId="25" type="noConversion"/>
  <conditionalFormatting sqref="T4:T11">
    <cfRule type="cellIs" dxfId="4" priority="1" operator="greaterThan">
      <formula>99</formula>
    </cfRule>
  </conditionalFormatting>
  <pageMargins left="0.7" right="0.7" top="0.75" bottom="0.75" header="0.3" footer="0.3"/>
  <pageSetup paperSize="9" scale="54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>
      <selection activeCell="R13" sqref="R13"/>
    </sheetView>
  </sheetViews>
  <sheetFormatPr defaultRowHeight="15" x14ac:dyDescent="0.25"/>
  <cols>
    <col min="2" max="2" width="33" customWidth="1"/>
    <col min="3" max="3" width="13.42578125" customWidth="1"/>
    <col min="4" max="4" width="13.140625" customWidth="1"/>
  </cols>
  <sheetData>
    <row r="1" spans="1:24" ht="21.75" thickBot="1" x14ac:dyDescent="0.4">
      <c r="A1" s="91" t="s">
        <v>44</v>
      </c>
    </row>
    <row r="2" spans="1:24" ht="77.25" thickBot="1" x14ac:dyDescent="0.3">
      <c r="A2" s="141" t="s">
        <v>90</v>
      </c>
      <c r="B2" s="29" t="s">
        <v>83</v>
      </c>
      <c r="C2" s="29" t="s">
        <v>14</v>
      </c>
      <c r="D2" s="30" t="s">
        <v>1</v>
      </c>
      <c r="E2" s="31" t="s">
        <v>17</v>
      </c>
      <c r="F2" s="31" t="s">
        <v>23</v>
      </c>
      <c r="G2" s="31" t="s">
        <v>24</v>
      </c>
      <c r="H2" s="31" t="s">
        <v>25</v>
      </c>
      <c r="I2" s="31" t="s">
        <v>26</v>
      </c>
      <c r="J2" s="95" t="s">
        <v>37</v>
      </c>
      <c r="K2" s="95" t="s">
        <v>27</v>
      </c>
      <c r="L2" s="31" t="s">
        <v>28</v>
      </c>
      <c r="M2" s="31" t="s">
        <v>29</v>
      </c>
      <c r="N2" s="32" t="s">
        <v>30</v>
      </c>
      <c r="O2" s="31" t="s">
        <v>31</v>
      </c>
      <c r="P2" s="33" t="s">
        <v>32</v>
      </c>
      <c r="Q2" s="34" t="s">
        <v>33</v>
      </c>
      <c r="R2" s="35" t="s">
        <v>34</v>
      </c>
      <c r="S2" s="36" t="s">
        <v>35</v>
      </c>
      <c r="T2" s="45" t="s">
        <v>2</v>
      </c>
      <c r="U2" s="37" t="s">
        <v>3</v>
      </c>
      <c r="V2" s="29" t="s">
        <v>4</v>
      </c>
      <c r="W2" s="38" t="s">
        <v>5</v>
      </c>
      <c r="X2" s="14"/>
    </row>
    <row r="3" spans="1:24" ht="15.75" thickBot="1" x14ac:dyDescent="0.3">
      <c r="A3" s="22"/>
      <c r="B3" s="23" t="s">
        <v>16</v>
      </c>
      <c r="C3" s="23"/>
      <c r="D3" s="23"/>
      <c r="E3" s="23"/>
      <c r="F3" s="23">
        <v>5</v>
      </c>
      <c r="G3" s="23">
        <v>5</v>
      </c>
      <c r="H3" s="23">
        <v>10</v>
      </c>
      <c r="I3" s="23">
        <v>20</v>
      </c>
      <c r="J3" s="23">
        <v>20</v>
      </c>
      <c r="K3" s="23">
        <v>30</v>
      </c>
      <c r="L3" s="23">
        <v>15</v>
      </c>
      <c r="M3" s="23">
        <v>15</v>
      </c>
      <c r="N3" s="23">
        <v>25</v>
      </c>
      <c r="O3" s="23">
        <v>5</v>
      </c>
      <c r="P3" s="23">
        <v>20</v>
      </c>
      <c r="Q3" s="23">
        <v>20</v>
      </c>
      <c r="R3" s="23">
        <v>30</v>
      </c>
      <c r="S3" s="24">
        <v>20</v>
      </c>
      <c r="T3" s="25">
        <f>SUM(E3:S3)</f>
        <v>240</v>
      </c>
      <c r="U3" s="26"/>
      <c r="V3" s="27"/>
      <c r="W3" s="28"/>
      <c r="X3" s="7"/>
    </row>
    <row r="4" spans="1:24" ht="40.5" x14ac:dyDescent="0.25">
      <c r="A4" s="39">
        <v>1</v>
      </c>
      <c r="B4" s="137" t="s">
        <v>46</v>
      </c>
      <c r="C4" s="8"/>
      <c r="D4" s="68">
        <f t="shared" ref="D4:D9" si="0">IF((T4*100/$K$17)&gt;$M$18,$N$18,IF((T4*100/$K$17)&gt;$M$19,$N$19,IF((T4*100/$K$17)&gt;$M$20,$N$20,IF((T4*100/$K$17)&gt;$M$21,$N$21,"не приступал"))))</f>
        <v>5</v>
      </c>
      <c r="E4" s="47">
        <f>1+1</f>
        <v>2</v>
      </c>
      <c r="F4" s="47">
        <v>5</v>
      </c>
      <c r="G4" s="47">
        <v>6</v>
      </c>
      <c r="H4" s="47">
        <v>12</v>
      </c>
      <c r="I4" s="47"/>
      <c r="J4" s="94">
        <f>1+15</f>
        <v>16</v>
      </c>
      <c r="K4" s="94">
        <v>15</v>
      </c>
      <c r="L4" s="47"/>
      <c r="M4" s="47"/>
      <c r="N4" s="48">
        <f>14+1</f>
        <v>15</v>
      </c>
      <c r="O4" s="47">
        <f>2</f>
        <v>2</v>
      </c>
      <c r="P4" s="48">
        <v>10</v>
      </c>
      <c r="Q4" s="49">
        <v>14</v>
      </c>
      <c r="R4" s="50"/>
      <c r="S4" s="51"/>
      <c r="T4" s="180">
        <f t="shared" ref="T4:T9" si="1">SUM(E4:S4)</f>
        <v>97</v>
      </c>
      <c r="U4" s="21">
        <f t="shared" ref="U4:U9" si="2">T4*$G$17/$G$18</f>
        <v>104.76</v>
      </c>
      <c r="V4" s="90">
        <f t="shared" ref="V4:V9" si="3">RANK(T4,T$4:T$9,0)</f>
        <v>2</v>
      </c>
      <c r="W4" s="40">
        <f t="shared" ref="W4:W9" si="4">ROUND(U4/MAX($U$4:$U$9)*100,0)</f>
        <v>70</v>
      </c>
      <c r="X4" s="7"/>
    </row>
    <row r="5" spans="1:24" ht="40.5" x14ac:dyDescent="0.25">
      <c r="A5" s="41">
        <v>2</v>
      </c>
      <c r="B5" s="137" t="s">
        <v>47</v>
      </c>
      <c r="C5" s="9"/>
      <c r="D5" s="69">
        <f t="shared" si="0"/>
        <v>5</v>
      </c>
      <c r="E5" s="52">
        <f>2+1</f>
        <v>3</v>
      </c>
      <c r="F5" s="52">
        <v>3</v>
      </c>
      <c r="G5" s="52">
        <v>3</v>
      </c>
      <c r="H5" s="52"/>
      <c r="I5" s="52"/>
      <c r="J5" s="92">
        <f>10+4+5</f>
        <v>19</v>
      </c>
      <c r="K5" s="92">
        <f>15+7</f>
        <v>22</v>
      </c>
      <c r="L5" s="52">
        <v>7</v>
      </c>
      <c r="M5" s="52"/>
      <c r="N5" s="53">
        <v>18</v>
      </c>
      <c r="O5" s="47">
        <f>2+5</f>
        <v>7</v>
      </c>
      <c r="P5" s="179">
        <f>16+5</f>
        <v>21</v>
      </c>
      <c r="Q5" s="54">
        <f>16+4</f>
        <v>20</v>
      </c>
      <c r="R5" s="50">
        <v>15</v>
      </c>
      <c r="S5" s="55"/>
      <c r="T5" s="129">
        <f>SUM(E5:S5)</f>
        <v>138</v>
      </c>
      <c r="U5" s="15">
        <f t="shared" si="2"/>
        <v>149.04</v>
      </c>
      <c r="V5" s="90">
        <f t="shared" si="3"/>
        <v>1</v>
      </c>
      <c r="W5" s="42">
        <f t="shared" si="4"/>
        <v>100</v>
      </c>
      <c r="X5" s="7"/>
    </row>
    <row r="6" spans="1:24" ht="40.5" x14ac:dyDescent="0.25">
      <c r="A6" s="43">
        <v>3</v>
      </c>
      <c r="B6" s="137" t="s">
        <v>48</v>
      </c>
      <c r="C6" s="10"/>
      <c r="D6" s="70">
        <f t="shared" si="0"/>
        <v>5</v>
      </c>
      <c r="E6" s="56"/>
      <c r="F6" s="56"/>
      <c r="G6" s="56">
        <v>7</v>
      </c>
      <c r="H6" s="52">
        <v>8</v>
      </c>
      <c r="I6" s="52"/>
      <c r="J6" s="92">
        <v>11</v>
      </c>
      <c r="K6" s="92">
        <v>16</v>
      </c>
      <c r="L6" s="52"/>
      <c r="M6" s="52"/>
      <c r="N6" s="53">
        <v>19</v>
      </c>
      <c r="O6" s="52"/>
      <c r="P6" s="53">
        <v>4</v>
      </c>
      <c r="Q6" s="54">
        <v>12</v>
      </c>
      <c r="R6" s="50"/>
      <c r="S6" s="55"/>
      <c r="T6" s="176">
        <f t="shared" si="1"/>
        <v>77</v>
      </c>
      <c r="U6" s="15">
        <f t="shared" si="2"/>
        <v>83.16</v>
      </c>
      <c r="V6" s="90">
        <f t="shared" si="3"/>
        <v>3</v>
      </c>
      <c r="W6" s="42">
        <f t="shared" si="4"/>
        <v>56</v>
      </c>
      <c r="X6" s="7"/>
    </row>
    <row r="7" spans="1:24" ht="40.5" x14ac:dyDescent="0.25">
      <c r="A7" s="44">
        <v>4</v>
      </c>
      <c r="B7" s="137" t="s">
        <v>49</v>
      </c>
      <c r="C7" s="11"/>
      <c r="D7" s="71">
        <f t="shared" si="0"/>
        <v>5</v>
      </c>
      <c r="E7" s="57"/>
      <c r="F7" s="57"/>
      <c r="G7" s="57">
        <f>4+2</f>
        <v>6</v>
      </c>
      <c r="H7" s="58"/>
      <c r="I7" s="52"/>
      <c r="J7" s="92">
        <v>13</v>
      </c>
      <c r="K7" s="92">
        <v>11</v>
      </c>
      <c r="L7" s="52"/>
      <c r="M7" s="52"/>
      <c r="N7" s="53">
        <v>13</v>
      </c>
      <c r="O7" s="47">
        <f>2</f>
        <v>2</v>
      </c>
      <c r="P7" s="53">
        <v>8</v>
      </c>
      <c r="Q7" s="54">
        <v>7</v>
      </c>
      <c r="R7" s="50"/>
      <c r="S7" s="55"/>
      <c r="T7" s="176">
        <f t="shared" si="1"/>
        <v>60</v>
      </c>
      <c r="U7" s="15">
        <f t="shared" si="2"/>
        <v>64.8</v>
      </c>
      <c r="V7" s="90">
        <f t="shared" si="3"/>
        <v>4</v>
      </c>
      <c r="W7" s="42">
        <f t="shared" si="4"/>
        <v>43</v>
      </c>
      <c r="X7" s="7"/>
    </row>
    <row r="8" spans="1:24" ht="40.5" x14ac:dyDescent="0.25">
      <c r="A8" s="44">
        <v>5</v>
      </c>
      <c r="B8" s="138" t="s">
        <v>50</v>
      </c>
      <c r="C8" s="11"/>
      <c r="D8" s="72">
        <f t="shared" si="0"/>
        <v>5</v>
      </c>
      <c r="E8" s="59">
        <f>1+1</f>
        <v>2</v>
      </c>
      <c r="F8" s="59">
        <v>2</v>
      </c>
      <c r="G8" s="59"/>
      <c r="H8" s="60"/>
      <c r="I8" s="61"/>
      <c r="J8" s="92">
        <f>8+4</f>
        <v>12</v>
      </c>
      <c r="K8" s="92">
        <f>12+2</f>
        <v>14</v>
      </c>
      <c r="L8" s="52">
        <v>5</v>
      </c>
      <c r="M8" s="52"/>
      <c r="N8" s="62"/>
      <c r="O8" s="52"/>
      <c r="P8" s="53"/>
      <c r="Q8" s="54"/>
      <c r="R8" s="50"/>
      <c r="S8" s="55"/>
      <c r="T8" s="177">
        <f t="shared" si="1"/>
        <v>35</v>
      </c>
      <c r="U8" s="15">
        <f t="shared" si="2"/>
        <v>37.799999999999997</v>
      </c>
      <c r="V8" s="90">
        <f t="shared" si="3"/>
        <v>5</v>
      </c>
      <c r="W8" s="42">
        <f t="shared" si="4"/>
        <v>25</v>
      </c>
      <c r="X8" s="7"/>
    </row>
    <row r="9" spans="1:24" ht="41.25" thickBot="1" x14ac:dyDescent="0.3">
      <c r="A9" s="44">
        <v>6</v>
      </c>
      <c r="B9" s="138" t="s">
        <v>51</v>
      </c>
      <c r="C9" s="11"/>
      <c r="D9" s="72" t="str">
        <f t="shared" si="0"/>
        <v>не приступал</v>
      </c>
      <c r="E9" s="59"/>
      <c r="F9" s="59"/>
      <c r="G9" s="59"/>
      <c r="H9" s="63"/>
      <c r="I9" s="63"/>
      <c r="J9" s="96"/>
      <c r="K9" s="96"/>
      <c r="L9" s="56"/>
      <c r="M9" s="56"/>
      <c r="N9" s="62"/>
      <c r="O9" s="56"/>
      <c r="P9" s="62"/>
      <c r="Q9" s="64"/>
      <c r="R9" s="50"/>
      <c r="S9" s="55"/>
      <c r="T9" s="129">
        <f t="shared" si="1"/>
        <v>0</v>
      </c>
      <c r="U9" s="15">
        <f t="shared" si="2"/>
        <v>0</v>
      </c>
      <c r="V9" s="90">
        <f t="shared" si="3"/>
        <v>6</v>
      </c>
      <c r="W9" s="42">
        <f t="shared" si="4"/>
        <v>0</v>
      </c>
      <c r="X9" s="7"/>
    </row>
    <row r="10" spans="1:24" ht="15.75" thickBot="1" x14ac:dyDescent="0.3">
      <c r="A10" s="16"/>
      <c r="B10" s="17" t="s">
        <v>15</v>
      </c>
      <c r="C10" s="17"/>
      <c r="D10" s="66"/>
      <c r="E10" s="66">
        <f t="shared" ref="E10:U10" si="5">SUM(E4:E9)</f>
        <v>7</v>
      </c>
      <c r="F10" s="66">
        <f t="shared" si="5"/>
        <v>10</v>
      </c>
      <c r="G10" s="66">
        <f t="shared" si="5"/>
        <v>22</v>
      </c>
      <c r="H10" s="66">
        <f t="shared" si="5"/>
        <v>20</v>
      </c>
      <c r="I10" s="66">
        <f t="shared" si="5"/>
        <v>0</v>
      </c>
      <c r="J10" s="66">
        <f t="shared" si="5"/>
        <v>71</v>
      </c>
      <c r="K10" s="66">
        <f t="shared" si="5"/>
        <v>78</v>
      </c>
      <c r="L10" s="66">
        <f t="shared" si="5"/>
        <v>12</v>
      </c>
      <c r="M10" s="66">
        <f t="shared" si="5"/>
        <v>0</v>
      </c>
      <c r="N10" s="66">
        <f t="shared" si="5"/>
        <v>65</v>
      </c>
      <c r="O10" s="66">
        <f t="shared" si="5"/>
        <v>11</v>
      </c>
      <c r="P10" s="66">
        <f t="shared" si="5"/>
        <v>43</v>
      </c>
      <c r="Q10" s="66">
        <f t="shared" si="5"/>
        <v>53</v>
      </c>
      <c r="R10" s="66">
        <f t="shared" si="5"/>
        <v>15</v>
      </c>
      <c r="S10" s="67">
        <f t="shared" si="5"/>
        <v>0</v>
      </c>
      <c r="T10" s="18">
        <f t="shared" si="5"/>
        <v>407</v>
      </c>
      <c r="U10" s="19">
        <f t="shared" si="5"/>
        <v>439.56000000000006</v>
      </c>
      <c r="V10" s="17"/>
      <c r="W10" s="20">
        <f>SUM(W4:W9)</f>
        <v>294</v>
      </c>
      <c r="X10" s="13"/>
    </row>
    <row r="11" spans="1:24" ht="20.25" customHeight="1" x14ac:dyDescent="0.25">
      <c r="B11" s="132"/>
      <c r="C11" s="133" t="s">
        <v>84</v>
      </c>
      <c r="D11" t="s">
        <v>85</v>
      </c>
    </row>
    <row r="12" spans="1:24" x14ac:dyDescent="0.25">
      <c r="B12" s="131"/>
      <c r="C12" s="93"/>
      <c r="D12" t="s">
        <v>39</v>
      </c>
    </row>
    <row r="13" spans="1:24" x14ac:dyDescent="0.25">
      <c r="C13" s="5"/>
      <c r="D13" t="s">
        <v>19</v>
      </c>
    </row>
    <row r="14" spans="1:24" x14ac:dyDescent="0.25">
      <c r="C14" s="1"/>
      <c r="D14" t="s">
        <v>6</v>
      </c>
      <c r="E14" t="s">
        <v>20</v>
      </c>
      <c r="P14" t="s">
        <v>36</v>
      </c>
    </row>
    <row r="15" spans="1:24" x14ac:dyDescent="0.25">
      <c r="A15" s="80"/>
      <c r="E15" t="s">
        <v>21</v>
      </c>
      <c r="P15" s="90"/>
      <c r="Q15" t="s">
        <v>38</v>
      </c>
      <c r="W15" s="80"/>
      <c r="X15" s="80"/>
    </row>
    <row r="16" spans="1:24" x14ac:dyDescent="0.25">
      <c r="A16" s="80"/>
      <c r="E16" t="s">
        <v>22</v>
      </c>
      <c r="W16" s="80"/>
      <c r="X16" s="80"/>
    </row>
    <row r="17" spans="2:22" ht="38.25" x14ac:dyDescent="0.25">
      <c r="B17" s="73" t="s">
        <v>7</v>
      </c>
      <c r="C17" s="74">
        <f>COUNT(A4:A9)</f>
        <v>6</v>
      </c>
      <c r="D17" s="75" t="s">
        <v>8</v>
      </c>
      <c r="E17" s="76"/>
      <c r="F17" s="73"/>
      <c r="G17" s="77">
        <f>C18*36</f>
        <v>108</v>
      </c>
      <c r="H17" s="83"/>
      <c r="I17" s="83"/>
      <c r="J17" s="73" t="s">
        <v>9</v>
      </c>
      <c r="K17" s="74">
        <v>30</v>
      </c>
      <c r="L17" s="81" t="s">
        <v>10</v>
      </c>
      <c r="M17" s="84"/>
      <c r="N17" s="82" t="s">
        <v>11</v>
      </c>
      <c r="O17" s="78">
        <f>T10/C17</f>
        <v>67.833333333333329</v>
      </c>
      <c r="P17" s="79">
        <f>U10/($C$17)</f>
        <v>73.260000000000005</v>
      </c>
      <c r="Q17" s="80"/>
      <c r="R17" s="80"/>
      <c r="S17" s="80"/>
      <c r="T17" s="80"/>
      <c r="U17" s="80"/>
      <c r="V17" s="80"/>
    </row>
    <row r="18" spans="2:22" ht="38.25" x14ac:dyDescent="0.25">
      <c r="B18" s="85" t="s">
        <v>12</v>
      </c>
      <c r="C18" s="74">
        <v>3</v>
      </c>
      <c r="D18" s="75" t="s">
        <v>13</v>
      </c>
      <c r="E18" s="76"/>
      <c r="F18" s="73"/>
      <c r="G18" s="74">
        <v>100</v>
      </c>
      <c r="H18" s="86"/>
      <c r="I18" s="86"/>
      <c r="J18" s="87"/>
      <c r="K18" s="87"/>
      <c r="L18" s="88">
        <v>100</v>
      </c>
      <c r="M18" s="88">
        <v>86.1</v>
      </c>
      <c r="N18" s="89">
        <v>5</v>
      </c>
      <c r="O18" s="87"/>
      <c r="P18" s="87"/>
      <c r="Q18" s="80"/>
      <c r="R18" s="80"/>
      <c r="S18" s="80"/>
      <c r="T18" s="80"/>
      <c r="U18" s="80"/>
      <c r="V18" s="80"/>
    </row>
    <row r="19" spans="2:22" x14ac:dyDescent="0.25">
      <c r="B19" s="4"/>
      <c r="L19" s="2">
        <v>86</v>
      </c>
      <c r="M19" s="2">
        <v>69.099999999999994</v>
      </c>
      <c r="N19" s="3">
        <v>4</v>
      </c>
    </row>
    <row r="20" spans="2:22" x14ac:dyDescent="0.25">
      <c r="L20" s="2">
        <v>69</v>
      </c>
      <c r="M20" s="2">
        <v>53.1</v>
      </c>
      <c r="N20" s="3">
        <v>3</v>
      </c>
    </row>
    <row r="21" spans="2:22" x14ac:dyDescent="0.25">
      <c r="L21" s="2">
        <v>53</v>
      </c>
      <c r="M21" s="2">
        <v>36</v>
      </c>
      <c r="N21" s="3">
        <v>2</v>
      </c>
    </row>
  </sheetData>
  <phoneticPr fontId="25" type="noConversion"/>
  <conditionalFormatting sqref="T4:T9">
    <cfRule type="cellIs" dxfId="3" priority="1" operator="greaterThan">
      <formula>99</formula>
    </cfRule>
  </conditionalFormatting>
  <pageMargins left="0.7" right="0.7" top="0.75" bottom="0.75" header="0.3" footer="0.3"/>
  <pageSetup paperSize="9" scale="54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zoomScale="70" zoomScaleNormal="70" workbookViewId="0">
      <selection activeCell="T8" sqref="T8"/>
    </sheetView>
  </sheetViews>
  <sheetFormatPr defaultRowHeight="15" x14ac:dyDescent="0.25"/>
  <cols>
    <col min="1" max="1" width="10.140625" customWidth="1"/>
    <col min="2" max="2" width="36" customWidth="1"/>
    <col min="3" max="3" width="4.85546875" customWidth="1"/>
    <col min="4" max="4" width="7.5703125" customWidth="1"/>
    <col min="5" max="5" width="7.85546875" customWidth="1"/>
    <col min="6" max="6" width="6.7109375" customWidth="1"/>
    <col min="7" max="7" width="7.140625" customWidth="1"/>
    <col min="8" max="8" width="7.28515625" customWidth="1"/>
    <col min="9" max="9" width="6.42578125" customWidth="1"/>
    <col min="12" max="12" width="7.5703125" customWidth="1"/>
    <col min="13" max="13" width="7.42578125" customWidth="1"/>
    <col min="15" max="15" width="7.85546875" customWidth="1"/>
    <col min="18" max="18" width="7.28515625" customWidth="1"/>
  </cols>
  <sheetData>
    <row r="1" spans="1:24" ht="21.75" thickBot="1" x14ac:dyDescent="0.4">
      <c r="A1" s="91" t="s">
        <v>44</v>
      </c>
    </row>
    <row r="2" spans="1:24" ht="77.25" thickBot="1" x14ac:dyDescent="0.3">
      <c r="A2" s="46" t="s">
        <v>91</v>
      </c>
      <c r="B2" s="29" t="s">
        <v>0</v>
      </c>
      <c r="C2" s="29" t="s">
        <v>14</v>
      </c>
      <c r="D2" s="30" t="s">
        <v>1</v>
      </c>
      <c r="E2" s="31" t="s">
        <v>17</v>
      </c>
      <c r="F2" s="31" t="s">
        <v>23</v>
      </c>
      <c r="G2" s="31" t="s">
        <v>24</v>
      </c>
      <c r="H2" s="31" t="s">
        <v>25</v>
      </c>
      <c r="I2" s="31" t="s">
        <v>26</v>
      </c>
      <c r="J2" s="95" t="s">
        <v>37</v>
      </c>
      <c r="K2" s="95" t="s">
        <v>27</v>
      </c>
      <c r="L2" s="31" t="s">
        <v>28</v>
      </c>
      <c r="M2" s="31" t="s">
        <v>29</v>
      </c>
      <c r="N2" s="32" t="s">
        <v>30</v>
      </c>
      <c r="O2" s="31" t="s">
        <v>31</v>
      </c>
      <c r="P2" s="33" t="s">
        <v>32</v>
      </c>
      <c r="Q2" s="34" t="s">
        <v>33</v>
      </c>
      <c r="R2" s="35" t="s">
        <v>34</v>
      </c>
      <c r="S2" s="36" t="s">
        <v>35</v>
      </c>
      <c r="T2" s="45" t="s">
        <v>2</v>
      </c>
      <c r="U2" s="37" t="s">
        <v>3</v>
      </c>
      <c r="V2" s="29" t="s">
        <v>4</v>
      </c>
      <c r="W2" s="38" t="s">
        <v>5</v>
      </c>
      <c r="X2" s="14"/>
    </row>
    <row r="3" spans="1:24" ht="15.75" thickBot="1" x14ac:dyDescent="0.3">
      <c r="A3" s="22"/>
      <c r="B3" s="23" t="s">
        <v>16</v>
      </c>
      <c r="C3" s="23"/>
      <c r="D3" s="23"/>
      <c r="E3" s="23"/>
      <c r="F3" s="23">
        <v>5</v>
      </c>
      <c r="G3" s="23">
        <v>5</v>
      </c>
      <c r="H3" s="23">
        <v>10</v>
      </c>
      <c r="I3" s="23">
        <v>20</v>
      </c>
      <c r="J3" s="23">
        <v>20</v>
      </c>
      <c r="K3" s="23">
        <v>30</v>
      </c>
      <c r="L3" s="23">
        <v>15</v>
      </c>
      <c r="M3" s="23">
        <v>15</v>
      </c>
      <c r="N3" s="23">
        <v>25</v>
      </c>
      <c r="O3" s="23">
        <v>5</v>
      </c>
      <c r="P3" s="23">
        <v>20</v>
      </c>
      <c r="Q3" s="23">
        <v>20</v>
      </c>
      <c r="R3" s="23">
        <v>30</v>
      </c>
      <c r="S3" s="24">
        <v>20</v>
      </c>
      <c r="T3" s="25">
        <f>SUM(E3:S3)</f>
        <v>240</v>
      </c>
      <c r="U3" s="26"/>
      <c r="V3" s="27"/>
      <c r="W3" s="28"/>
      <c r="X3" s="7"/>
    </row>
    <row r="4" spans="1:24" ht="40.5" x14ac:dyDescent="0.25">
      <c r="A4" s="39">
        <v>1</v>
      </c>
      <c r="B4" s="137" t="s">
        <v>52</v>
      </c>
      <c r="C4" s="8"/>
      <c r="D4" s="68">
        <f t="shared" ref="D4:D11" si="0">IF((T4*100/$K$19)&gt;$M$20,$N$20,IF((T4*100/$K$19)&gt;$M$21,$N$21,IF((T4*100/$K$19)&gt;$M$22,$N$22,IF((T4*100/$K$19)&gt;$M$23,$N$23,"не приступал"))))</f>
        <v>5</v>
      </c>
      <c r="E4" s="47">
        <v>1</v>
      </c>
      <c r="F4" s="47">
        <v>2</v>
      </c>
      <c r="G4" s="47"/>
      <c r="H4" s="47">
        <v>6</v>
      </c>
      <c r="I4" s="47"/>
      <c r="J4" s="94">
        <f>10+5</f>
        <v>15</v>
      </c>
      <c r="K4" s="94">
        <f>13+5</f>
        <v>18</v>
      </c>
      <c r="L4" s="47">
        <v>6</v>
      </c>
      <c r="M4" s="47"/>
      <c r="N4" s="48">
        <v>12</v>
      </c>
      <c r="O4" s="47">
        <f>2+5</f>
        <v>7</v>
      </c>
      <c r="P4" s="48">
        <v>9</v>
      </c>
      <c r="Q4" s="49">
        <v>12</v>
      </c>
      <c r="R4" s="50"/>
      <c r="S4" s="51"/>
      <c r="T4" s="180">
        <f t="shared" ref="T4:T10" si="1">SUM(E4:S4)</f>
        <v>88</v>
      </c>
      <c r="U4" s="21">
        <f t="shared" ref="U4:U11" si="2">T4*$G$19/$G$20</f>
        <v>95.04</v>
      </c>
      <c r="V4" s="90">
        <f t="shared" ref="V4:V11" si="3">RANK(T4,T$4:T$11,0)</f>
        <v>2</v>
      </c>
      <c r="W4" s="40">
        <f t="shared" ref="W4:W11" si="4">ROUND(U4/MAX($U$4:$U$11)*100,0)</f>
        <v>92</v>
      </c>
      <c r="X4" s="7"/>
    </row>
    <row r="5" spans="1:24" ht="60.75" x14ac:dyDescent="0.25">
      <c r="A5" s="41">
        <v>2</v>
      </c>
      <c r="B5" s="137" t="s">
        <v>89</v>
      </c>
      <c r="C5" s="9"/>
      <c r="D5" s="69">
        <f t="shared" si="0"/>
        <v>5</v>
      </c>
      <c r="E5" s="52">
        <f>2+1</f>
        <v>3</v>
      </c>
      <c r="F5" s="52">
        <v>3</v>
      </c>
      <c r="G5" s="52">
        <v>5</v>
      </c>
      <c r="H5" s="52">
        <v>12</v>
      </c>
      <c r="I5" s="52"/>
      <c r="J5" s="92">
        <f>10+15+5</f>
        <v>30</v>
      </c>
      <c r="K5" s="92">
        <f>10+5</f>
        <v>15</v>
      </c>
      <c r="L5" s="52"/>
      <c r="M5" s="52"/>
      <c r="N5" s="53">
        <v>20</v>
      </c>
      <c r="O5" s="52">
        <f>6+2</f>
        <v>8</v>
      </c>
      <c r="P5" s="53"/>
      <c r="Q5" s="54"/>
      <c r="R5" s="50"/>
      <c r="S5" s="55"/>
      <c r="T5" s="176">
        <f>SUM(E5:S5)</f>
        <v>96</v>
      </c>
      <c r="U5" s="15">
        <f t="shared" si="2"/>
        <v>103.68</v>
      </c>
      <c r="V5" s="90">
        <f t="shared" si="3"/>
        <v>1</v>
      </c>
      <c r="W5" s="42">
        <f t="shared" si="4"/>
        <v>100</v>
      </c>
      <c r="X5" s="7"/>
    </row>
    <row r="6" spans="1:24" ht="40.5" x14ac:dyDescent="0.25">
      <c r="A6" s="43">
        <v>3</v>
      </c>
      <c r="B6" s="137" t="s">
        <v>53</v>
      </c>
      <c r="C6" s="10"/>
      <c r="D6" s="70">
        <f t="shared" si="0"/>
        <v>5</v>
      </c>
      <c r="E6" s="56"/>
      <c r="F6" s="56"/>
      <c r="G6" s="56">
        <v>5</v>
      </c>
      <c r="H6" s="52">
        <v>4</v>
      </c>
      <c r="I6" s="52"/>
      <c r="J6" s="92">
        <f>10+5</f>
        <v>15</v>
      </c>
      <c r="K6" s="92">
        <v>12</v>
      </c>
      <c r="L6" s="52">
        <v>8</v>
      </c>
      <c r="M6" s="52"/>
      <c r="N6" s="53">
        <v>14</v>
      </c>
      <c r="O6" s="52">
        <f>2</f>
        <v>2</v>
      </c>
      <c r="P6" s="53">
        <v>8</v>
      </c>
      <c r="Q6" s="54">
        <v>4</v>
      </c>
      <c r="R6" s="50"/>
      <c r="S6" s="55"/>
      <c r="T6" s="176">
        <f t="shared" si="1"/>
        <v>72</v>
      </c>
      <c r="U6" s="15">
        <f t="shared" si="2"/>
        <v>77.760000000000005</v>
      </c>
      <c r="V6" s="90">
        <f t="shared" si="3"/>
        <v>5</v>
      </c>
      <c r="W6" s="42">
        <f t="shared" si="4"/>
        <v>75</v>
      </c>
      <c r="X6" s="7"/>
    </row>
    <row r="7" spans="1:24" ht="40.5" x14ac:dyDescent="0.25">
      <c r="A7" s="44">
        <v>4</v>
      </c>
      <c r="B7" s="137" t="s">
        <v>54</v>
      </c>
      <c r="C7" s="11"/>
      <c r="D7" s="71">
        <f t="shared" si="0"/>
        <v>5</v>
      </c>
      <c r="E7" s="57"/>
      <c r="F7" s="57"/>
      <c r="G7" s="57"/>
      <c r="H7" s="58">
        <v>8</v>
      </c>
      <c r="I7" s="52"/>
      <c r="J7" s="92">
        <f>1+8+5</f>
        <v>14</v>
      </c>
      <c r="K7" s="92">
        <f>13+3</f>
        <v>16</v>
      </c>
      <c r="L7" s="52">
        <v>6</v>
      </c>
      <c r="M7" s="52"/>
      <c r="N7" s="53">
        <v>12</v>
      </c>
      <c r="O7" s="52">
        <f>2+5</f>
        <v>7</v>
      </c>
      <c r="P7" s="53">
        <v>9</v>
      </c>
      <c r="Q7" s="54">
        <v>8</v>
      </c>
      <c r="R7" s="50"/>
      <c r="S7" s="55"/>
      <c r="T7" s="176">
        <f t="shared" si="1"/>
        <v>80</v>
      </c>
      <c r="U7" s="15">
        <f t="shared" si="2"/>
        <v>86.4</v>
      </c>
      <c r="V7" s="90">
        <f t="shared" si="3"/>
        <v>4</v>
      </c>
      <c r="W7" s="42">
        <f t="shared" si="4"/>
        <v>83</v>
      </c>
      <c r="X7" s="7"/>
    </row>
    <row r="8" spans="1:24" ht="40.5" x14ac:dyDescent="0.25">
      <c r="A8" s="44">
        <v>5</v>
      </c>
      <c r="B8" s="137" t="s">
        <v>55</v>
      </c>
      <c r="C8" s="11"/>
      <c r="D8" s="72">
        <f t="shared" si="0"/>
        <v>5</v>
      </c>
      <c r="E8" s="59"/>
      <c r="F8" s="59"/>
      <c r="G8" s="59">
        <v>4</v>
      </c>
      <c r="H8" s="60"/>
      <c r="I8" s="61"/>
      <c r="J8" s="92">
        <f>13+4</f>
        <v>17</v>
      </c>
      <c r="K8" s="92">
        <f>10+5</f>
        <v>15</v>
      </c>
      <c r="L8" s="52"/>
      <c r="M8" s="52"/>
      <c r="N8" s="62">
        <v>9</v>
      </c>
      <c r="O8" s="52">
        <f>2</f>
        <v>2</v>
      </c>
      <c r="P8" s="53"/>
      <c r="Q8" s="54"/>
      <c r="R8" s="50"/>
      <c r="S8" s="55"/>
      <c r="T8" s="178">
        <f t="shared" si="1"/>
        <v>47</v>
      </c>
      <c r="U8" s="15">
        <f t="shared" si="2"/>
        <v>50.76</v>
      </c>
      <c r="V8" s="90">
        <f t="shared" si="3"/>
        <v>6</v>
      </c>
      <c r="W8" s="42">
        <f t="shared" si="4"/>
        <v>49</v>
      </c>
      <c r="X8" s="7"/>
    </row>
    <row r="9" spans="1:24" ht="40.5" x14ac:dyDescent="0.25">
      <c r="A9" s="44">
        <v>6</v>
      </c>
      <c r="B9" s="137" t="s">
        <v>56</v>
      </c>
      <c r="C9" s="11"/>
      <c r="D9" s="72">
        <f t="shared" si="0"/>
        <v>5</v>
      </c>
      <c r="E9" s="59"/>
      <c r="F9" s="59">
        <v>3</v>
      </c>
      <c r="G9" s="59">
        <v>4</v>
      </c>
      <c r="H9" s="63"/>
      <c r="I9" s="63"/>
      <c r="J9" s="96">
        <v>10</v>
      </c>
      <c r="K9" s="96">
        <f>10+10</f>
        <v>20</v>
      </c>
      <c r="L9" s="56"/>
      <c r="M9" s="56"/>
      <c r="N9" s="62">
        <v>14</v>
      </c>
      <c r="O9" s="52"/>
      <c r="P9" s="62">
        <v>16</v>
      </c>
      <c r="Q9" s="64">
        <v>14</v>
      </c>
      <c r="R9" s="50"/>
      <c r="S9" s="55"/>
      <c r="T9" s="176">
        <f t="shared" si="1"/>
        <v>81</v>
      </c>
      <c r="U9" s="15">
        <f t="shared" si="2"/>
        <v>87.48</v>
      </c>
      <c r="V9" s="90">
        <f t="shared" si="3"/>
        <v>3</v>
      </c>
      <c r="W9" s="42">
        <f t="shared" si="4"/>
        <v>84</v>
      </c>
      <c r="X9" s="7"/>
    </row>
    <row r="10" spans="1:24" ht="40.5" x14ac:dyDescent="0.25">
      <c r="A10" s="44">
        <v>7</v>
      </c>
      <c r="B10" s="138" t="s">
        <v>57</v>
      </c>
      <c r="C10" s="11"/>
      <c r="D10" s="71" t="str">
        <f t="shared" si="0"/>
        <v>не приступал</v>
      </c>
      <c r="E10" s="57"/>
      <c r="F10" s="63"/>
      <c r="G10" s="63"/>
      <c r="H10" s="63"/>
      <c r="I10" s="65"/>
      <c r="J10" s="92"/>
      <c r="K10" s="96"/>
      <c r="L10" s="63"/>
      <c r="M10" s="63"/>
      <c r="N10" s="62"/>
      <c r="O10" s="52"/>
      <c r="P10" s="62"/>
      <c r="Q10" s="62"/>
      <c r="R10" s="50"/>
      <c r="S10" s="55"/>
      <c r="T10" s="129">
        <f t="shared" si="1"/>
        <v>0</v>
      </c>
      <c r="U10" s="15">
        <f t="shared" si="2"/>
        <v>0</v>
      </c>
      <c r="V10" s="90">
        <f t="shared" si="3"/>
        <v>8</v>
      </c>
      <c r="W10" s="42">
        <f t="shared" si="4"/>
        <v>0</v>
      </c>
      <c r="X10" s="7"/>
    </row>
    <row r="11" spans="1:24" ht="41.25" thickBot="1" x14ac:dyDescent="0.3">
      <c r="A11" s="44">
        <v>8</v>
      </c>
      <c r="B11" s="138" t="s">
        <v>58</v>
      </c>
      <c r="C11" s="12"/>
      <c r="D11" s="71">
        <f t="shared" si="0"/>
        <v>2</v>
      </c>
      <c r="E11" s="57"/>
      <c r="F11" s="57"/>
      <c r="G11" s="57"/>
      <c r="H11" s="63"/>
      <c r="I11" s="65"/>
      <c r="J11" s="96">
        <v>2</v>
      </c>
      <c r="K11" s="96">
        <v>10</v>
      </c>
      <c r="L11" s="56"/>
      <c r="M11" s="56"/>
      <c r="N11" s="62"/>
      <c r="O11" s="52">
        <f>2</f>
        <v>2</v>
      </c>
      <c r="P11" s="62"/>
      <c r="Q11" s="64"/>
      <c r="R11" s="50"/>
      <c r="S11" s="55"/>
      <c r="T11" s="129">
        <f>SUM(E11:S11)</f>
        <v>14</v>
      </c>
      <c r="U11" s="15">
        <f t="shared" si="2"/>
        <v>15.12</v>
      </c>
      <c r="V11" s="90">
        <f t="shared" si="3"/>
        <v>7</v>
      </c>
      <c r="W11" s="42">
        <f t="shared" si="4"/>
        <v>15</v>
      </c>
      <c r="X11" s="7"/>
    </row>
    <row r="12" spans="1:24" ht="15.75" thickBot="1" x14ac:dyDescent="0.3">
      <c r="A12" s="16"/>
      <c r="B12" s="17" t="s">
        <v>15</v>
      </c>
      <c r="C12" s="17"/>
      <c r="D12" s="66"/>
      <c r="E12" s="66">
        <f t="shared" ref="E12:U12" si="5">SUM(E4:E11)</f>
        <v>4</v>
      </c>
      <c r="F12" s="66">
        <f t="shared" si="5"/>
        <v>8</v>
      </c>
      <c r="G12" s="66">
        <f t="shared" si="5"/>
        <v>18</v>
      </c>
      <c r="H12" s="66">
        <f t="shared" si="5"/>
        <v>30</v>
      </c>
      <c r="I12" s="66">
        <f t="shared" si="5"/>
        <v>0</v>
      </c>
      <c r="J12" s="66">
        <f t="shared" si="5"/>
        <v>103</v>
      </c>
      <c r="K12" s="66">
        <f t="shared" si="5"/>
        <v>106</v>
      </c>
      <c r="L12" s="66">
        <f t="shared" si="5"/>
        <v>20</v>
      </c>
      <c r="M12" s="66">
        <f t="shared" si="5"/>
        <v>0</v>
      </c>
      <c r="N12" s="66">
        <f t="shared" si="5"/>
        <v>81</v>
      </c>
      <c r="O12" s="66">
        <f t="shared" si="5"/>
        <v>28</v>
      </c>
      <c r="P12" s="66">
        <f t="shared" si="5"/>
        <v>42</v>
      </c>
      <c r="Q12" s="66">
        <f t="shared" si="5"/>
        <v>38</v>
      </c>
      <c r="R12" s="66">
        <f t="shared" si="5"/>
        <v>0</v>
      </c>
      <c r="S12" s="67">
        <f t="shared" si="5"/>
        <v>0</v>
      </c>
      <c r="T12" s="18">
        <f t="shared" si="5"/>
        <v>478</v>
      </c>
      <c r="U12" s="19">
        <f t="shared" si="5"/>
        <v>516.24</v>
      </c>
      <c r="V12" s="17"/>
      <c r="W12" s="20">
        <f>SUM(W4:W11)</f>
        <v>498</v>
      </c>
      <c r="X12" s="13"/>
    </row>
    <row r="13" spans="1:24" x14ac:dyDescent="0.25">
      <c r="B13" s="132"/>
      <c r="C13" s="133" t="s">
        <v>84</v>
      </c>
      <c r="D13" t="s">
        <v>85</v>
      </c>
    </row>
    <row r="14" spans="1:24" x14ac:dyDescent="0.25">
      <c r="B14" s="6" t="s">
        <v>18</v>
      </c>
      <c r="C14" s="93"/>
      <c r="D14" t="s">
        <v>39</v>
      </c>
    </row>
    <row r="15" spans="1:24" x14ac:dyDescent="0.25">
      <c r="C15" s="5"/>
      <c r="D15" t="s">
        <v>19</v>
      </c>
    </row>
    <row r="16" spans="1:24" x14ac:dyDescent="0.25">
      <c r="C16" s="1"/>
      <c r="D16" t="s">
        <v>6</v>
      </c>
      <c r="E16" t="s">
        <v>20</v>
      </c>
      <c r="P16" t="s">
        <v>36</v>
      </c>
    </row>
    <row r="17" spans="1:24" x14ac:dyDescent="0.25">
      <c r="A17" s="80"/>
      <c r="E17" t="s">
        <v>21</v>
      </c>
      <c r="P17" s="90"/>
      <c r="Q17" t="s">
        <v>38</v>
      </c>
      <c r="W17" s="80"/>
      <c r="X17" s="80"/>
    </row>
    <row r="18" spans="1:24" x14ac:dyDescent="0.25">
      <c r="A18" s="80"/>
      <c r="E18" t="s">
        <v>22</v>
      </c>
      <c r="W18" s="80"/>
      <c r="X18" s="80"/>
    </row>
    <row r="19" spans="1:24" ht="38.25" x14ac:dyDescent="0.25">
      <c r="B19" s="73" t="s">
        <v>7</v>
      </c>
      <c r="C19" s="74">
        <f>COUNT(A4:A11)</f>
        <v>8</v>
      </c>
      <c r="D19" s="75" t="s">
        <v>8</v>
      </c>
      <c r="E19" s="76"/>
      <c r="F19" s="73"/>
      <c r="G19" s="77">
        <f>C20*36</f>
        <v>108</v>
      </c>
      <c r="H19" s="83"/>
      <c r="I19" s="83"/>
      <c r="J19" s="73" t="s">
        <v>9</v>
      </c>
      <c r="K19" s="74">
        <v>30</v>
      </c>
      <c r="L19" s="81" t="s">
        <v>10</v>
      </c>
      <c r="M19" s="84"/>
      <c r="N19" s="82" t="s">
        <v>11</v>
      </c>
      <c r="O19" s="78">
        <f>T12/C19</f>
        <v>59.75</v>
      </c>
      <c r="P19" s="79">
        <f>U12/($C$19)</f>
        <v>64.53</v>
      </c>
      <c r="Q19" s="80"/>
      <c r="R19" s="80"/>
      <c r="S19" s="80"/>
      <c r="T19" s="80"/>
      <c r="U19" s="80"/>
      <c r="V19" s="80"/>
    </row>
    <row r="20" spans="1:24" ht="42.75" customHeight="1" x14ac:dyDescent="0.25">
      <c r="B20" s="85" t="s">
        <v>12</v>
      </c>
      <c r="C20" s="74">
        <v>3</v>
      </c>
      <c r="D20" s="75" t="s">
        <v>13</v>
      </c>
      <c r="E20" s="76"/>
      <c r="F20" s="73"/>
      <c r="G20" s="74">
        <v>100</v>
      </c>
      <c r="H20" s="86"/>
      <c r="I20" s="86"/>
      <c r="J20" s="87"/>
      <c r="K20" s="87"/>
      <c r="L20" s="88">
        <v>100</v>
      </c>
      <c r="M20" s="88">
        <v>86.1</v>
      </c>
      <c r="N20" s="89">
        <v>5</v>
      </c>
      <c r="O20" s="87"/>
      <c r="P20" s="87"/>
      <c r="Q20" s="80"/>
      <c r="R20" s="80"/>
      <c r="S20" s="80"/>
      <c r="T20" s="80"/>
      <c r="U20" s="80"/>
      <c r="V20" s="80"/>
    </row>
    <row r="21" spans="1:24" x14ac:dyDescent="0.25">
      <c r="B21" s="4"/>
      <c r="L21" s="2">
        <v>86</v>
      </c>
      <c r="M21" s="2">
        <v>69.099999999999994</v>
      </c>
      <c r="N21" s="3">
        <v>4</v>
      </c>
    </row>
    <row r="22" spans="1:24" x14ac:dyDescent="0.25">
      <c r="L22" s="2">
        <v>69</v>
      </c>
      <c r="M22" s="2">
        <v>53.1</v>
      </c>
      <c r="N22" s="3">
        <v>3</v>
      </c>
    </row>
    <row r="23" spans="1:24" x14ac:dyDescent="0.25">
      <c r="B23" t="s">
        <v>80</v>
      </c>
      <c r="L23" s="2">
        <v>53</v>
      </c>
      <c r="M23" s="2">
        <v>36</v>
      </c>
      <c r="N23" s="3">
        <v>2</v>
      </c>
    </row>
  </sheetData>
  <phoneticPr fontId="25" type="noConversion"/>
  <conditionalFormatting sqref="T4:T11">
    <cfRule type="cellIs" dxfId="2" priority="1" operator="greaterThan">
      <formula>99</formula>
    </cfRule>
  </conditionalFormatting>
  <pageMargins left="0.7" right="0.7" top="0.75" bottom="0.75" header="0.3" footer="0.3"/>
  <pageSetup paperSize="9" scale="58" fitToHeight="0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zoomScale="80" zoomScaleNormal="80" workbookViewId="0">
      <selection activeCell="N11" sqref="N11"/>
    </sheetView>
  </sheetViews>
  <sheetFormatPr defaultRowHeight="15" x14ac:dyDescent="0.25"/>
  <cols>
    <col min="2" max="2" width="38.42578125" customWidth="1"/>
    <col min="4" max="4" width="12.28515625" customWidth="1"/>
  </cols>
  <sheetData>
    <row r="1" spans="1:24" ht="21.75" thickBot="1" x14ac:dyDescent="0.4">
      <c r="A1" s="91" t="s">
        <v>44</v>
      </c>
    </row>
    <row r="2" spans="1:24" ht="77.25" thickBot="1" x14ac:dyDescent="0.3">
      <c r="A2" s="46" t="s">
        <v>92</v>
      </c>
      <c r="B2" s="29" t="s">
        <v>0</v>
      </c>
      <c r="C2" s="29" t="s">
        <v>14</v>
      </c>
      <c r="D2" s="30" t="s">
        <v>1</v>
      </c>
      <c r="E2" s="31" t="s">
        <v>17</v>
      </c>
      <c r="F2" s="31" t="s">
        <v>23</v>
      </c>
      <c r="G2" s="31" t="s">
        <v>24</v>
      </c>
      <c r="H2" s="31" t="s">
        <v>25</v>
      </c>
      <c r="I2" s="31" t="s">
        <v>26</v>
      </c>
      <c r="J2" s="95" t="s">
        <v>37</v>
      </c>
      <c r="K2" s="95" t="s">
        <v>27</v>
      </c>
      <c r="L2" s="31" t="s">
        <v>28</v>
      </c>
      <c r="M2" s="31" t="s">
        <v>29</v>
      </c>
      <c r="N2" s="32" t="s">
        <v>30</v>
      </c>
      <c r="O2" s="31" t="s">
        <v>31</v>
      </c>
      <c r="P2" s="33" t="s">
        <v>32</v>
      </c>
      <c r="Q2" s="34" t="s">
        <v>33</v>
      </c>
      <c r="R2" s="35" t="s">
        <v>34</v>
      </c>
      <c r="S2" s="36" t="s">
        <v>35</v>
      </c>
      <c r="T2" s="45" t="s">
        <v>2</v>
      </c>
      <c r="U2" s="37" t="s">
        <v>3</v>
      </c>
      <c r="V2" s="29" t="s">
        <v>4</v>
      </c>
      <c r="W2" s="38" t="s">
        <v>5</v>
      </c>
      <c r="X2" s="14"/>
    </row>
    <row r="3" spans="1:24" ht="15.75" thickBot="1" x14ac:dyDescent="0.3">
      <c r="A3" s="22"/>
      <c r="B3" s="23" t="s">
        <v>16</v>
      </c>
      <c r="C3" s="23"/>
      <c r="D3" s="23"/>
      <c r="E3" s="23"/>
      <c r="F3" s="23">
        <v>5</v>
      </c>
      <c r="G3" s="23">
        <v>5</v>
      </c>
      <c r="H3" s="23">
        <v>10</v>
      </c>
      <c r="I3" s="23">
        <v>20</v>
      </c>
      <c r="J3" s="23">
        <v>20</v>
      </c>
      <c r="K3" s="23">
        <v>30</v>
      </c>
      <c r="L3" s="23">
        <v>15</v>
      </c>
      <c r="M3" s="23">
        <v>15</v>
      </c>
      <c r="N3" s="23">
        <v>25</v>
      </c>
      <c r="O3" s="23">
        <v>5</v>
      </c>
      <c r="P3" s="23">
        <v>20</v>
      </c>
      <c r="Q3" s="23">
        <v>20</v>
      </c>
      <c r="R3" s="23">
        <v>30</v>
      </c>
      <c r="S3" s="24">
        <v>20</v>
      </c>
      <c r="T3" s="25">
        <f>SUM(E3:S3)</f>
        <v>240</v>
      </c>
      <c r="U3" s="26"/>
      <c r="V3" s="27"/>
      <c r="W3" s="28"/>
      <c r="X3" s="7"/>
    </row>
    <row r="4" spans="1:24" ht="40.5" x14ac:dyDescent="0.3">
      <c r="A4" s="39">
        <v>1</v>
      </c>
      <c r="B4" s="137" t="s">
        <v>59</v>
      </c>
      <c r="C4" s="8"/>
      <c r="D4" s="142">
        <f t="shared" ref="D4:D11" si="0">IF((T4*100/$K$19)&gt;$M$20,$N$20,IF((T4*100/$K$19)&gt;$M$21,$N$21,IF((T4*100/$K$19)&gt;$M$22,$N$22,IF((T4*100/$K$19)&gt;$M$23,$N$23,"не приступал"))))</f>
        <v>5</v>
      </c>
      <c r="E4" s="143"/>
      <c r="F4" s="143">
        <v>3</v>
      </c>
      <c r="G4" s="143">
        <v>7</v>
      </c>
      <c r="H4" s="143">
        <v>9</v>
      </c>
      <c r="I4" s="143"/>
      <c r="J4" s="144">
        <v>15</v>
      </c>
      <c r="K4" s="144">
        <v>14</v>
      </c>
      <c r="L4" s="143">
        <f>7+4</f>
        <v>11</v>
      </c>
      <c r="M4" s="143"/>
      <c r="N4" s="145">
        <v>5</v>
      </c>
      <c r="O4" s="143">
        <f>2+2</f>
        <v>4</v>
      </c>
      <c r="P4" s="145">
        <v>12</v>
      </c>
      <c r="Q4" s="146">
        <v>12</v>
      </c>
      <c r="R4" s="147"/>
      <c r="S4" s="51"/>
      <c r="T4" s="180">
        <f t="shared" ref="T4:T10" si="1">SUM(E4:S4)</f>
        <v>92</v>
      </c>
      <c r="U4" s="21">
        <f t="shared" ref="U4:U11" si="2">T4*$G$19/$G$20</f>
        <v>99.36</v>
      </c>
      <c r="V4" s="90">
        <f t="shared" ref="V4:V11" si="3">RANK(T4,T$4:T$11,0)</f>
        <v>5</v>
      </c>
      <c r="W4" s="40">
        <f t="shared" ref="W4:W11" si="4">ROUND(U4/MAX($U$4:$U$11)*100,0)</f>
        <v>86</v>
      </c>
      <c r="X4" s="7"/>
    </row>
    <row r="5" spans="1:24" ht="56.25" x14ac:dyDescent="0.3">
      <c r="A5" s="41">
        <v>2</v>
      </c>
      <c r="B5" s="137" t="s">
        <v>60</v>
      </c>
      <c r="C5" s="9"/>
      <c r="D5" s="157" t="str">
        <f t="shared" si="0"/>
        <v>не приступал</v>
      </c>
      <c r="E5" s="148"/>
      <c r="F5" s="148"/>
      <c r="G5" s="148"/>
      <c r="H5" s="148"/>
      <c r="I5" s="148"/>
      <c r="J5" s="149"/>
      <c r="K5" s="149"/>
      <c r="L5" s="148"/>
      <c r="M5" s="148"/>
      <c r="N5" s="150"/>
      <c r="O5" s="148"/>
      <c r="P5" s="150"/>
      <c r="Q5" s="151"/>
      <c r="R5" s="147"/>
      <c r="S5" s="55"/>
      <c r="T5" s="129">
        <f>SUM(E5:S5)</f>
        <v>0</v>
      </c>
      <c r="U5" s="15">
        <f t="shared" si="2"/>
        <v>0</v>
      </c>
      <c r="V5" s="90">
        <f t="shared" si="3"/>
        <v>7</v>
      </c>
      <c r="W5" s="42">
        <f t="shared" si="4"/>
        <v>0</v>
      </c>
      <c r="X5" s="7"/>
    </row>
    <row r="6" spans="1:24" ht="40.5" x14ac:dyDescent="0.3">
      <c r="A6" s="43">
        <v>3</v>
      </c>
      <c r="B6" s="137" t="s">
        <v>81</v>
      </c>
      <c r="C6" s="10"/>
      <c r="D6" s="152">
        <f t="shared" si="0"/>
        <v>5</v>
      </c>
      <c r="E6" s="153">
        <f>2+1</f>
        <v>3</v>
      </c>
      <c r="F6" s="153">
        <v>5</v>
      </c>
      <c r="G6" s="153">
        <v>4</v>
      </c>
      <c r="H6" s="148">
        <v>9</v>
      </c>
      <c r="I6" s="148">
        <v>13</v>
      </c>
      <c r="J6" s="149">
        <f>8+4</f>
        <v>12</v>
      </c>
      <c r="K6" s="149">
        <f>5+4</f>
        <v>9</v>
      </c>
      <c r="L6" s="148">
        <v>10</v>
      </c>
      <c r="M6" s="148">
        <f>1+5</f>
        <v>6</v>
      </c>
      <c r="N6" s="150">
        <f>6+4</f>
        <v>10</v>
      </c>
      <c r="O6" s="143">
        <f>2+1</f>
        <v>3</v>
      </c>
      <c r="P6" s="150">
        <f>5+4</f>
        <v>9</v>
      </c>
      <c r="Q6" s="151">
        <v>14</v>
      </c>
      <c r="R6" s="147"/>
      <c r="S6" s="55"/>
      <c r="T6" s="129">
        <f t="shared" si="1"/>
        <v>107</v>
      </c>
      <c r="U6" s="15">
        <f t="shared" si="2"/>
        <v>115.56</v>
      </c>
      <c r="V6" s="90">
        <f t="shared" si="3"/>
        <v>1</v>
      </c>
      <c r="W6" s="42">
        <f t="shared" si="4"/>
        <v>100</v>
      </c>
      <c r="X6" s="7"/>
    </row>
    <row r="7" spans="1:24" ht="40.5" x14ac:dyDescent="0.3">
      <c r="A7" s="44">
        <v>4</v>
      </c>
      <c r="B7" s="137" t="s">
        <v>93</v>
      </c>
      <c r="C7" s="11"/>
      <c r="D7" s="154">
        <f t="shared" si="0"/>
        <v>5</v>
      </c>
      <c r="E7" s="155">
        <v>1</v>
      </c>
      <c r="F7" s="155">
        <v>3</v>
      </c>
      <c r="G7" s="155">
        <v>4</v>
      </c>
      <c r="H7" s="156">
        <v>8</v>
      </c>
      <c r="I7" s="148"/>
      <c r="J7" s="149">
        <v>15</v>
      </c>
      <c r="K7" s="149">
        <v>14</v>
      </c>
      <c r="L7" s="148">
        <f>7+4</f>
        <v>11</v>
      </c>
      <c r="M7" s="148"/>
      <c r="N7" s="150">
        <v>16</v>
      </c>
      <c r="O7" s="143">
        <f t="shared" ref="O7" si="5">2+1</f>
        <v>3</v>
      </c>
      <c r="P7" s="150">
        <v>14</v>
      </c>
      <c r="Q7" s="151">
        <v>10</v>
      </c>
      <c r="R7" s="147"/>
      <c r="S7" s="55"/>
      <c r="T7" s="176">
        <f t="shared" si="1"/>
        <v>99</v>
      </c>
      <c r="U7" s="15">
        <f t="shared" si="2"/>
        <v>106.92</v>
      </c>
      <c r="V7" s="90">
        <f t="shared" si="3"/>
        <v>2</v>
      </c>
      <c r="W7" s="42">
        <f t="shared" si="4"/>
        <v>93</v>
      </c>
      <c r="X7" s="7"/>
    </row>
    <row r="8" spans="1:24" ht="40.5" x14ac:dyDescent="0.3">
      <c r="A8" s="44">
        <v>5</v>
      </c>
      <c r="B8" s="137" t="s">
        <v>87</v>
      </c>
      <c r="C8" s="11"/>
      <c r="D8" s="157">
        <f t="shared" si="0"/>
        <v>5</v>
      </c>
      <c r="E8" s="158">
        <f>2+1+1</f>
        <v>4</v>
      </c>
      <c r="F8" s="158">
        <v>5</v>
      </c>
      <c r="G8" s="158">
        <v>4</v>
      </c>
      <c r="H8" s="159">
        <v>9</v>
      </c>
      <c r="I8" s="160"/>
      <c r="J8" s="149">
        <f>1+7</f>
        <v>8</v>
      </c>
      <c r="K8" s="149">
        <f>4+3</f>
        <v>7</v>
      </c>
      <c r="L8" s="148">
        <v>11</v>
      </c>
      <c r="M8" s="148"/>
      <c r="N8" s="161">
        <f>8+4</f>
        <v>12</v>
      </c>
      <c r="O8" s="143">
        <f>2+1+3</f>
        <v>6</v>
      </c>
      <c r="P8" s="150">
        <f>10+4+3</f>
        <v>17</v>
      </c>
      <c r="Q8" s="151">
        <f>10+2+4</f>
        <v>16</v>
      </c>
      <c r="R8" s="147"/>
      <c r="S8" s="55"/>
      <c r="T8" s="176">
        <f t="shared" si="1"/>
        <v>99</v>
      </c>
      <c r="U8" s="15">
        <f t="shared" si="2"/>
        <v>106.92</v>
      </c>
      <c r="V8" s="90">
        <f t="shared" si="3"/>
        <v>2</v>
      </c>
      <c r="W8" s="42">
        <f t="shared" si="4"/>
        <v>93</v>
      </c>
      <c r="X8" s="7"/>
    </row>
    <row r="9" spans="1:24" ht="56.25" x14ac:dyDescent="0.3">
      <c r="A9" s="44">
        <v>6</v>
      </c>
      <c r="B9" s="138" t="s">
        <v>61</v>
      </c>
      <c r="C9" s="11"/>
      <c r="D9" s="157" t="str">
        <f t="shared" si="0"/>
        <v>не приступал</v>
      </c>
      <c r="E9" s="158"/>
      <c r="F9" s="158"/>
      <c r="G9" s="158"/>
      <c r="H9" s="162"/>
      <c r="I9" s="162"/>
      <c r="J9" s="163"/>
      <c r="K9" s="163"/>
      <c r="L9" s="153"/>
      <c r="M9" s="153"/>
      <c r="N9" s="161"/>
      <c r="O9" s="143"/>
      <c r="P9" s="161"/>
      <c r="Q9" s="164"/>
      <c r="R9" s="147"/>
      <c r="S9" s="55"/>
      <c r="T9" s="129">
        <f t="shared" si="1"/>
        <v>0</v>
      </c>
      <c r="U9" s="15">
        <f t="shared" si="2"/>
        <v>0</v>
      </c>
      <c r="V9" s="90">
        <f t="shared" si="3"/>
        <v>7</v>
      </c>
      <c r="W9" s="42">
        <f t="shared" si="4"/>
        <v>0</v>
      </c>
      <c r="X9" s="7"/>
    </row>
    <row r="10" spans="1:24" ht="40.5" x14ac:dyDescent="0.3">
      <c r="A10" s="44">
        <v>7</v>
      </c>
      <c r="B10" s="138" t="s">
        <v>62</v>
      </c>
      <c r="C10" s="11"/>
      <c r="D10" s="154">
        <f t="shared" si="0"/>
        <v>5</v>
      </c>
      <c r="E10" s="155"/>
      <c r="F10" s="162">
        <v>3</v>
      </c>
      <c r="G10" s="162">
        <v>4</v>
      </c>
      <c r="H10" s="162"/>
      <c r="I10" s="165"/>
      <c r="J10" s="149">
        <v>15</v>
      </c>
      <c r="K10" s="163">
        <v>16</v>
      </c>
      <c r="L10" s="162">
        <f>8+5</f>
        <v>13</v>
      </c>
      <c r="M10" s="162"/>
      <c r="N10" s="161">
        <f>14+2</f>
        <v>16</v>
      </c>
      <c r="O10" s="143">
        <f>2+1+1</f>
        <v>4</v>
      </c>
      <c r="P10" s="161">
        <v>12</v>
      </c>
      <c r="Q10" s="161">
        <v>15</v>
      </c>
      <c r="R10" s="147"/>
      <c r="S10" s="55"/>
      <c r="T10" s="176">
        <f t="shared" si="1"/>
        <v>98</v>
      </c>
      <c r="U10" s="15">
        <f t="shared" si="2"/>
        <v>105.84</v>
      </c>
      <c r="V10" s="90">
        <f t="shared" si="3"/>
        <v>4</v>
      </c>
      <c r="W10" s="42">
        <f t="shared" si="4"/>
        <v>92</v>
      </c>
      <c r="X10" s="7"/>
    </row>
    <row r="11" spans="1:24" ht="41.25" thickBot="1" x14ac:dyDescent="0.35">
      <c r="A11" s="44">
        <v>8</v>
      </c>
      <c r="B11" s="137" t="s">
        <v>63</v>
      </c>
      <c r="C11" s="12"/>
      <c r="D11" s="154">
        <f t="shared" si="0"/>
        <v>5</v>
      </c>
      <c r="E11" s="155"/>
      <c r="F11" s="155">
        <v>4</v>
      </c>
      <c r="G11" s="155">
        <v>4</v>
      </c>
      <c r="H11" s="162"/>
      <c r="I11" s="165">
        <v>8</v>
      </c>
      <c r="J11" s="163">
        <v>5</v>
      </c>
      <c r="K11" s="163">
        <v>7</v>
      </c>
      <c r="L11" s="153"/>
      <c r="M11" s="153"/>
      <c r="N11" s="161">
        <v>19</v>
      </c>
      <c r="O11" s="143">
        <v>2</v>
      </c>
      <c r="P11" s="161">
        <v>16</v>
      </c>
      <c r="Q11" s="164">
        <v>17</v>
      </c>
      <c r="R11" s="147"/>
      <c r="S11" s="55"/>
      <c r="T11" s="176">
        <f>SUM(E11:S11)</f>
        <v>82</v>
      </c>
      <c r="U11" s="15">
        <f t="shared" si="2"/>
        <v>88.56</v>
      </c>
      <c r="V11" s="90">
        <f t="shared" si="3"/>
        <v>6</v>
      </c>
      <c r="W11" s="42">
        <f t="shared" si="4"/>
        <v>77</v>
      </c>
      <c r="X11" s="7"/>
    </row>
    <row r="12" spans="1:24" ht="15.75" thickBot="1" x14ac:dyDescent="0.3">
      <c r="A12" s="16"/>
      <c r="B12" s="17" t="s">
        <v>15</v>
      </c>
      <c r="C12" s="17"/>
      <c r="D12" s="66"/>
      <c r="E12" s="66">
        <f t="shared" ref="E12:U12" si="6">SUM(E4:E11)</f>
        <v>8</v>
      </c>
      <c r="F12" s="66">
        <f t="shared" si="6"/>
        <v>23</v>
      </c>
      <c r="G12" s="66">
        <f t="shared" si="6"/>
        <v>27</v>
      </c>
      <c r="H12" s="66">
        <f t="shared" si="6"/>
        <v>35</v>
      </c>
      <c r="I12" s="66">
        <f t="shared" si="6"/>
        <v>21</v>
      </c>
      <c r="J12" s="66">
        <f t="shared" si="6"/>
        <v>70</v>
      </c>
      <c r="K12" s="66">
        <f t="shared" si="6"/>
        <v>67</v>
      </c>
      <c r="L12" s="66">
        <f t="shared" si="6"/>
        <v>56</v>
      </c>
      <c r="M12" s="66">
        <f t="shared" si="6"/>
        <v>6</v>
      </c>
      <c r="N12" s="66">
        <f t="shared" si="6"/>
        <v>78</v>
      </c>
      <c r="O12" s="66">
        <f t="shared" si="6"/>
        <v>22</v>
      </c>
      <c r="P12" s="66">
        <f t="shared" si="6"/>
        <v>80</v>
      </c>
      <c r="Q12" s="66">
        <f t="shared" si="6"/>
        <v>84</v>
      </c>
      <c r="R12" s="66">
        <f t="shared" si="6"/>
        <v>0</v>
      </c>
      <c r="S12" s="67">
        <f t="shared" si="6"/>
        <v>0</v>
      </c>
      <c r="T12" s="18">
        <f t="shared" si="6"/>
        <v>577</v>
      </c>
      <c r="U12" s="19">
        <f t="shared" si="6"/>
        <v>623.16000000000008</v>
      </c>
      <c r="V12" s="17"/>
      <c r="W12" s="20">
        <f>SUM(W4:W11)</f>
        <v>541</v>
      </c>
      <c r="X12" s="13"/>
    </row>
    <row r="13" spans="1:24" x14ac:dyDescent="0.25">
      <c r="B13" s="134"/>
      <c r="C13" s="133" t="s">
        <v>84</v>
      </c>
      <c r="D13" t="s">
        <v>85</v>
      </c>
    </row>
    <row r="14" spans="1:24" x14ac:dyDescent="0.25">
      <c r="B14" s="6" t="s">
        <v>18</v>
      </c>
      <c r="C14" s="93"/>
      <c r="D14" t="s">
        <v>39</v>
      </c>
    </row>
    <row r="15" spans="1:24" x14ac:dyDescent="0.25">
      <c r="C15" s="5"/>
      <c r="D15" t="s">
        <v>19</v>
      </c>
    </row>
    <row r="16" spans="1:24" x14ac:dyDescent="0.25">
      <c r="C16" s="1"/>
      <c r="D16" t="s">
        <v>6</v>
      </c>
      <c r="E16" t="s">
        <v>20</v>
      </c>
      <c r="P16" t="s">
        <v>36</v>
      </c>
    </row>
    <row r="17" spans="1:24" x14ac:dyDescent="0.25">
      <c r="A17" s="80"/>
      <c r="E17" t="s">
        <v>21</v>
      </c>
      <c r="P17" s="90"/>
      <c r="Q17" t="s">
        <v>38</v>
      </c>
      <c r="W17" s="80"/>
      <c r="X17" s="80"/>
    </row>
    <row r="18" spans="1:24" x14ac:dyDescent="0.25">
      <c r="A18" s="80"/>
      <c r="E18" t="s">
        <v>22</v>
      </c>
      <c r="W18" s="80"/>
      <c r="X18" s="80"/>
    </row>
    <row r="19" spans="1:24" ht="38.25" x14ac:dyDescent="0.25">
      <c r="B19" s="73" t="s">
        <v>7</v>
      </c>
      <c r="C19" s="74">
        <f>COUNT(A4:A11)</f>
        <v>8</v>
      </c>
      <c r="D19" s="75" t="s">
        <v>8</v>
      </c>
      <c r="E19" s="76"/>
      <c r="F19" s="73"/>
      <c r="G19" s="77">
        <f>C20*36</f>
        <v>108</v>
      </c>
      <c r="H19" s="83"/>
      <c r="I19" s="83"/>
      <c r="J19" s="73" t="s">
        <v>9</v>
      </c>
      <c r="K19" s="74">
        <v>30</v>
      </c>
      <c r="L19" s="81" t="s">
        <v>10</v>
      </c>
      <c r="M19" s="84"/>
      <c r="N19" s="82" t="s">
        <v>11</v>
      </c>
      <c r="O19" s="78">
        <f>T12/C19</f>
        <v>72.125</v>
      </c>
      <c r="P19" s="79">
        <f>U12/($C$19)</f>
        <v>77.89500000000001</v>
      </c>
      <c r="Q19" s="80"/>
      <c r="R19" s="80"/>
      <c r="S19" s="80"/>
      <c r="T19" s="80"/>
      <c r="U19" s="80"/>
      <c r="V19" s="80"/>
    </row>
    <row r="20" spans="1:24" ht="38.25" x14ac:dyDescent="0.25">
      <c r="B20" s="85" t="s">
        <v>12</v>
      </c>
      <c r="C20" s="74">
        <v>3</v>
      </c>
      <c r="D20" s="75" t="s">
        <v>13</v>
      </c>
      <c r="E20" s="76"/>
      <c r="F20" s="73"/>
      <c r="G20" s="74">
        <v>100</v>
      </c>
      <c r="H20" s="86"/>
      <c r="I20" s="86"/>
      <c r="J20" s="87"/>
      <c r="K20" s="87"/>
      <c r="L20" s="88">
        <v>100</v>
      </c>
      <c r="M20" s="88">
        <v>86.1</v>
      </c>
      <c r="N20" s="89">
        <v>5</v>
      </c>
      <c r="O20" s="87"/>
      <c r="P20" s="87"/>
      <c r="Q20" s="80"/>
      <c r="R20" s="80"/>
      <c r="S20" s="80"/>
      <c r="T20" s="80"/>
      <c r="U20" s="80"/>
      <c r="V20" s="80"/>
    </row>
    <row r="21" spans="1:24" x14ac:dyDescent="0.25">
      <c r="B21" s="4"/>
      <c r="L21" s="2">
        <v>86</v>
      </c>
      <c r="M21" s="2">
        <v>69.099999999999994</v>
      </c>
      <c r="N21" s="3">
        <v>4</v>
      </c>
    </row>
    <row r="22" spans="1:24" x14ac:dyDescent="0.25">
      <c r="L22" s="2">
        <v>69</v>
      </c>
      <c r="M22" s="2">
        <v>53.1</v>
      </c>
      <c r="N22" s="3">
        <v>3</v>
      </c>
    </row>
    <row r="23" spans="1:24" x14ac:dyDescent="0.25">
      <c r="L23" s="2">
        <v>53</v>
      </c>
      <c r="M23" s="2">
        <v>36</v>
      </c>
      <c r="N23" s="3">
        <v>2</v>
      </c>
    </row>
  </sheetData>
  <phoneticPr fontId="25" type="noConversion"/>
  <conditionalFormatting sqref="T4:T11">
    <cfRule type="cellIs" dxfId="1" priority="1" operator="greaterThan">
      <formula>99</formula>
    </cfRule>
  </conditionalFormatting>
  <pageMargins left="0.7" right="0.7" top="0.75" bottom="0.75" header="0.3" footer="0.3"/>
  <pageSetup paperSize="9" scale="54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9" zoomScaleNormal="89" workbookViewId="0">
      <selection activeCell="U9" sqref="U9"/>
    </sheetView>
  </sheetViews>
  <sheetFormatPr defaultRowHeight="15" x14ac:dyDescent="0.25"/>
  <cols>
    <col min="1" max="1" width="8.42578125" customWidth="1"/>
    <col min="2" max="2" width="38.140625" customWidth="1"/>
    <col min="4" max="4" width="7.28515625" customWidth="1"/>
    <col min="6" max="6" width="6.85546875" customWidth="1"/>
    <col min="7" max="7" width="6.140625" customWidth="1"/>
    <col min="8" max="8" width="6.85546875" customWidth="1"/>
    <col min="9" max="9" width="5.42578125" customWidth="1"/>
    <col min="12" max="12" width="8.7109375" customWidth="1"/>
    <col min="13" max="13" width="8" customWidth="1"/>
    <col min="15" max="15" width="6.28515625" customWidth="1"/>
    <col min="17" max="17" width="8.140625" customWidth="1"/>
    <col min="18" max="18" width="5.7109375" customWidth="1"/>
  </cols>
  <sheetData>
    <row r="1" spans="1:24" ht="21.75" thickBot="1" x14ac:dyDescent="0.4">
      <c r="A1" s="91" t="s">
        <v>44</v>
      </c>
    </row>
    <row r="2" spans="1:24" ht="77.25" thickBot="1" x14ac:dyDescent="0.3">
      <c r="A2" s="141" t="s">
        <v>64</v>
      </c>
      <c r="B2" s="29" t="s">
        <v>86</v>
      </c>
      <c r="C2" s="29" t="s">
        <v>14</v>
      </c>
      <c r="D2" s="30" t="s">
        <v>1</v>
      </c>
      <c r="E2" s="31" t="s">
        <v>17</v>
      </c>
      <c r="F2" s="31" t="s">
        <v>23</v>
      </c>
      <c r="G2" s="31" t="s">
        <v>24</v>
      </c>
      <c r="H2" s="31" t="s">
        <v>25</v>
      </c>
      <c r="I2" s="31" t="s">
        <v>26</v>
      </c>
      <c r="J2" s="95" t="s">
        <v>37</v>
      </c>
      <c r="K2" s="95" t="s">
        <v>27</v>
      </c>
      <c r="L2" s="31" t="s">
        <v>28</v>
      </c>
      <c r="M2" s="31" t="s">
        <v>29</v>
      </c>
      <c r="N2" s="32" t="s">
        <v>30</v>
      </c>
      <c r="O2" s="31" t="s">
        <v>31</v>
      </c>
      <c r="P2" s="33" t="s">
        <v>32</v>
      </c>
      <c r="Q2" s="34" t="s">
        <v>33</v>
      </c>
      <c r="R2" s="35" t="s">
        <v>34</v>
      </c>
      <c r="S2" s="36" t="s">
        <v>35</v>
      </c>
      <c r="T2" s="45" t="s">
        <v>2</v>
      </c>
      <c r="U2" s="37" t="s">
        <v>3</v>
      </c>
      <c r="V2" s="29" t="s">
        <v>4</v>
      </c>
      <c r="W2" s="38" t="s">
        <v>5</v>
      </c>
      <c r="X2" s="14"/>
    </row>
    <row r="3" spans="1:24" ht="15.75" thickBot="1" x14ac:dyDescent="0.3">
      <c r="A3" s="22"/>
      <c r="B3" s="23" t="s">
        <v>16</v>
      </c>
      <c r="C3" s="23"/>
      <c r="D3" s="23"/>
      <c r="E3" s="23"/>
      <c r="F3" s="23">
        <v>5</v>
      </c>
      <c r="G3" s="23">
        <v>5</v>
      </c>
      <c r="H3" s="23">
        <v>10</v>
      </c>
      <c r="I3" s="23">
        <v>20</v>
      </c>
      <c r="J3" s="23">
        <v>20</v>
      </c>
      <c r="K3" s="23">
        <v>30</v>
      </c>
      <c r="L3" s="23">
        <v>15</v>
      </c>
      <c r="M3" s="23">
        <v>15</v>
      </c>
      <c r="N3" s="23">
        <v>25</v>
      </c>
      <c r="O3" s="23">
        <v>5</v>
      </c>
      <c r="P3" s="23">
        <v>20</v>
      </c>
      <c r="Q3" s="23">
        <v>20</v>
      </c>
      <c r="R3" s="23">
        <v>30</v>
      </c>
      <c r="S3" s="24">
        <v>20</v>
      </c>
      <c r="T3" s="25">
        <f>SUM(E3:S3)</f>
        <v>240</v>
      </c>
      <c r="U3" s="26"/>
      <c r="V3" s="27"/>
      <c r="W3" s="28"/>
      <c r="X3" s="7"/>
    </row>
    <row r="4" spans="1:24" ht="40.5" x14ac:dyDescent="0.25">
      <c r="A4" s="39">
        <v>1</v>
      </c>
      <c r="B4" s="137" t="s">
        <v>65</v>
      </c>
      <c r="C4" s="8"/>
      <c r="D4" s="68">
        <f t="shared" ref="D4:D9" si="0">IF((T4*100/$K$17)&gt;$M$18,$N$18,IF((T4*100/$K$17)&gt;$M$19,$N$19,IF((T4*100/$K$17)&gt;$M$20,$N$20,IF((T4*100/$K$17)&gt;$M$21,$N$21,"не приступал"))))</f>
        <v>5</v>
      </c>
      <c r="E4" s="47">
        <v>1</v>
      </c>
      <c r="F4" s="47">
        <v>2</v>
      </c>
      <c r="G4" s="47">
        <f>5+1</f>
        <v>6</v>
      </c>
      <c r="H4" s="47">
        <v>7</v>
      </c>
      <c r="I4" s="47">
        <v>6</v>
      </c>
      <c r="J4" s="94">
        <v>10</v>
      </c>
      <c r="K4" s="94">
        <v>15</v>
      </c>
      <c r="L4" s="47"/>
      <c r="M4" s="47"/>
      <c r="N4" s="48">
        <f>17+4</f>
        <v>21</v>
      </c>
      <c r="O4" s="47">
        <f>2+2</f>
        <v>4</v>
      </c>
      <c r="P4" s="48">
        <v>9</v>
      </c>
      <c r="Q4" s="49">
        <v>12</v>
      </c>
      <c r="R4" s="50"/>
      <c r="S4" s="51">
        <v>10</v>
      </c>
      <c r="T4" s="128">
        <f t="shared" ref="T4:T9" si="1">SUM(E4:S4)</f>
        <v>103</v>
      </c>
      <c r="U4" s="21">
        <f t="shared" ref="U4:U9" si="2">T4*$G$17/$G$18</f>
        <v>111.24</v>
      </c>
      <c r="V4" s="90">
        <f t="shared" ref="V4:V9" si="3">RANK(T4,T$4:T$9,0)</f>
        <v>2</v>
      </c>
      <c r="W4" s="40">
        <f t="shared" ref="W4:W9" si="4">ROUND(U4/MAX($U$4:$U$9)*100,0)</f>
        <v>94</v>
      </c>
      <c r="X4" s="7"/>
    </row>
    <row r="5" spans="1:24" ht="40.5" x14ac:dyDescent="0.25">
      <c r="A5" s="41">
        <v>2</v>
      </c>
      <c r="B5" s="137" t="s">
        <v>66</v>
      </c>
      <c r="C5" s="9"/>
      <c r="D5" s="69">
        <f t="shared" si="0"/>
        <v>5</v>
      </c>
      <c r="E5" s="52"/>
      <c r="F5" s="52">
        <v>4</v>
      </c>
      <c r="G5" s="52">
        <v>6</v>
      </c>
      <c r="H5" s="52"/>
      <c r="I5" s="52"/>
      <c r="J5" s="92">
        <f>10+5</f>
        <v>15</v>
      </c>
      <c r="K5" s="92">
        <f>10+5</f>
        <v>15</v>
      </c>
      <c r="L5" s="52">
        <v>10</v>
      </c>
      <c r="M5" s="52"/>
      <c r="N5" s="53">
        <f>16+5</f>
        <v>21</v>
      </c>
      <c r="O5" s="52">
        <f>2+3+5</f>
        <v>10</v>
      </c>
      <c r="P5" s="53">
        <f>10+4+5</f>
        <v>19</v>
      </c>
      <c r="Q5" s="54">
        <v>3</v>
      </c>
      <c r="R5" s="50"/>
      <c r="S5" s="55">
        <v>6</v>
      </c>
      <c r="T5" s="129">
        <f>SUM(E5:S5)</f>
        <v>109</v>
      </c>
      <c r="U5" s="15">
        <f t="shared" si="2"/>
        <v>117.72</v>
      </c>
      <c r="V5" s="90">
        <f t="shared" si="3"/>
        <v>1</v>
      </c>
      <c r="W5" s="42">
        <f t="shared" si="4"/>
        <v>100</v>
      </c>
      <c r="X5" s="7"/>
    </row>
    <row r="6" spans="1:24" ht="45" x14ac:dyDescent="0.25">
      <c r="A6" s="43">
        <v>3</v>
      </c>
      <c r="B6" s="138" t="s">
        <v>67</v>
      </c>
      <c r="C6" s="10"/>
      <c r="D6" s="72" t="str">
        <f t="shared" si="0"/>
        <v>не приступал</v>
      </c>
      <c r="E6" s="56"/>
      <c r="F6" s="56"/>
      <c r="G6" s="56"/>
      <c r="H6" s="52"/>
      <c r="I6" s="52"/>
      <c r="J6" s="92"/>
      <c r="K6" s="92"/>
      <c r="L6" s="52"/>
      <c r="M6" s="52"/>
      <c r="N6" s="62"/>
      <c r="O6" s="52"/>
      <c r="P6" s="53"/>
      <c r="Q6" s="54"/>
      <c r="R6" s="50"/>
      <c r="S6" s="55"/>
      <c r="T6" s="129">
        <f t="shared" si="1"/>
        <v>0</v>
      </c>
      <c r="U6" s="15">
        <f t="shared" si="2"/>
        <v>0</v>
      </c>
      <c r="V6" s="90">
        <f t="shared" si="3"/>
        <v>6</v>
      </c>
      <c r="W6" s="42">
        <f t="shared" si="4"/>
        <v>0</v>
      </c>
      <c r="X6" s="7"/>
    </row>
    <row r="7" spans="1:24" ht="40.5" x14ac:dyDescent="0.25">
      <c r="A7" s="44">
        <v>4</v>
      </c>
      <c r="B7" s="137" t="s">
        <v>68</v>
      </c>
      <c r="C7" s="11"/>
      <c r="D7" s="72">
        <f t="shared" si="0"/>
        <v>5</v>
      </c>
      <c r="E7" s="57">
        <v>1</v>
      </c>
      <c r="F7" s="57">
        <v>3</v>
      </c>
      <c r="G7" s="57">
        <v>3</v>
      </c>
      <c r="H7" s="58">
        <v>5</v>
      </c>
      <c r="I7" s="52"/>
      <c r="J7" s="92">
        <v>5</v>
      </c>
      <c r="K7" s="92">
        <v>14</v>
      </c>
      <c r="L7" s="52"/>
      <c r="M7" s="52"/>
      <c r="N7" s="53">
        <v>11</v>
      </c>
      <c r="O7" s="52"/>
      <c r="P7" s="53">
        <v>6</v>
      </c>
      <c r="Q7" s="54">
        <v>5</v>
      </c>
      <c r="R7" s="50"/>
      <c r="S7" s="55">
        <v>4</v>
      </c>
      <c r="T7" s="176">
        <f t="shared" si="1"/>
        <v>57</v>
      </c>
      <c r="U7" s="15">
        <f t="shared" si="2"/>
        <v>61.56</v>
      </c>
      <c r="V7" s="90">
        <f t="shared" si="3"/>
        <v>4</v>
      </c>
      <c r="W7" s="42">
        <f t="shared" si="4"/>
        <v>52</v>
      </c>
      <c r="X7" s="7"/>
    </row>
    <row r="8" spans="1:24" ht="40.5" x14ac:dyDescent="0.25">
      <c r="A8" s="44">
        <v>5</v>
      </c>
      <c r="B8" s="137" t="s">
        <v>69</v>
      </c>
      <c r="C8" s="11"/>
      <c r="D8" s="72">
        <f t="shared" si="0"/>
        <v>5</v>
      </c>
      <c r="E8" s="59">
        <v>1</v>
      </c>
      <c r="F8" s="59">
        <v>2</v>
      </c>
      <c r="G8" s="59">
        <v>4</v>
      </c>
      <c r="H8" s="60"/>
      <c r="I8" s="61"/>
      <c r="J8" s="92">
        <v>11</v>
      </c>
      <c r="K8" s="92">
        <v>15</v>
      </c>
      <c r="L8" s="52">
        <v>9</v>
      </c>
      <c r="M8" s="52"/>
      <c r="N8" s="62"/>
      <c r="O8" s="52">
        <f>2+3</f>
        <v>5</v>
      </c>
      <c r="P8" s="53"/>
      <c r="Q8" s="54"/>
      <c r="R8" s="50">
        <f>6+2</f>
        <v>8</v>
      </c>
      <c r="S8" s="55">
        <v>8</v>
      </c>
      <c r="T8" s="176">
        <f t="shared" si="1"/>
        <v>63</v>
      </c>
      <c r="U8" s="15">
        <f t="shared" si="2"/>
        <v>68.040000000000006</v>
      </c>
      <c r="V8" s="90">
        <f t="shared" si="3"/>
        <v>3</v>
      </c>
      <c r="W8" s="42">
        <f t="shared" si="4"/>
        <v>58</v>
      </c>
      <c r="X8" s="7"/>
    </row>
    <row r="9" spans="1:24" ht="44.25" customHeight="1" thickBot="1" x14ac:dyDescent="0.3">
      <c r="A9" s="44">
        <v>6</v>
      </c>
      <c r="B9" s="137" t="s">
        <v>78</v>
      </c>
      <c r="C9" s="11"/>
      <c r="D9" s="72" t="str">
        <f t="shared" si="0"/>
        <v>не приступал</v>
      </c>
      <c r="E9" s="59"/>
      <c r="F9" s="59">
        <v>5</v>
      </c>
      <c r="G9" s="59"/>
      <c r="H9" s="63"/>
      <c r="I9" s="63"/>
      <c r="J9" s="96"/>
      <c r="K9" s="96"/>
      <c r="L9" s="56"/>
      <c r="M9" s="56"/>
      <c r="N9" s="62"/>
      <c r="O9" s="56"/>
      <c r="P9" s="62"/>
      <c r="Q9" s="64"/>
      <c r="R9" s="50"/>
      <c r="S9" s="55"/>
      <c r="T9" s="129">
        <f t="shared" si="1"/>
        <v>5</v>
      </c>
      <c r="U9" s="15">
        <f t="shared" si="2"/>
        <v>5.4</v>
      </c>
      <c r="V9" s="90">
        <f t="shared" si="3"/>
        <v>5</v>
      </c>
      <c r="W9" s="42">
        <f t="shared" si="4"/>
        <v>5</v>
      </c>
      <c r="X9" s="7"/>
    </row>
    <row r="10" spans="1:24" ht="15.75" thickBot="1" x14ac:dyDescent="0.3">
      <c r="A10" s="16"/>
      <c r="B10" s="17" t="s">
        <v>15</v>
      </c>
      <c r="C10" s="17"/>
      <c r="D10" s="66"/>
      <c r="E10" s="66">
        <f t="shared" ref="E10:U10" si="5">SUM(E4:E9)</f>
        <v>3</v>
      </c>
      <c r="F10" s="66">
        <f t="shared" si="5"/>
        <v>16</v>
      </c>
      <c r="G10" s="66">
        <f t="shared" si="5"/>
        <v>19</v>
      </c>
      <c r="H10" s="66">
        <f t="shared" si="5"/>
        <v>12</v>
      </c>
      <c r="I10" s="66">
        <f t="shared" si="5"/>
        <v>6</v>
      </c>
      <c r="J10" s="66">
        <f t="shared" si="5"/>
        <v>41</v>
      </c>
      <c r="K10" s="66">
        <f t="shared" si="5"/>
        <v>59</v>
      </c>
      <c r="L10" s="66">
        <f t="shared" si="5"/>
        <v>19</v>
      </c>
      <c r="M10" s="66">
        <f t="shared" si="5"/>
        <v>0</v>
      </c>
      <c r="N10" s="66">
        <f t="shared" si="5"/>
        <v>53</v>
      </c>
      <c r="O10" s="66">
        <f t="shared" si="5"/>
        <v>19</v>
      </c>
      <c r="P10" s="66">
        <f t="shared" si="5"/>
        <v>34</v>
      </c>
      <c r="Q10" s="66">
        <f t="shared" si="5"/>
        <v>20</v>
      </c>
      <c r="R10" s="66">
        <f t="shared" si="5"/>
        <v>8</v>
      </c>
      <c r="S10" s="67">
        <f t="shared" si="5"/>
        <v>28</v>
      </c>
      <c r="T10" s="18">
        <f t="shared" si="5"/>
        <v>337</v>
      </c>
      <c r="U10" s="19">
        <f t="shared" si="5"/>
        <v>363.96</v>
      </c>
      <c r="V10" s="17"/>
      <c r="W10" s="20">
        <f>SUM(W4:W9)</f>
        <v>309</v>
      </c>
      <c r="X10" s="13"/>
    </row>
    <row r="11" spans="1:24" x14ac:dyDescent="0.25">
      <c r="B11" s="134"/>
      <c r="C11" s="133" t="s">
        <v>84</v>
      </c>
      <c r="D11" t="s">
        <v>85</v>
      </c>
    </row>
    <row r="12" spans="1:24" x14ac:dyDescent="0.25">
      <c r="B12" s="6" t="s">
        <v>18</v>
      </c>
      <c r="C12" s="93"/>
      <c r="D12" t="s">
        <v>39</v>
      </c>
    </row>
    <row r="13" spans="1:24" x14ac:dyDescent="0.25">
      <c r="C13" s="5"/>
      <c r="D13" t="s">
        <v>19</v>
      </c>
    </row>
    <row r="14" spans="1:24" x14ac:dyDescent="0.25">
      <c r="C14" s="1"/>
      <c r="D14" t="s">
        <v>6</v>
      </c>
      <c r="E14" t="s">
        <v>20</v>
      </c>
      <c r="P14" t="s">
        <v>36</v>
      </c>
    </row>
    <row r="15" spans="1:24" x14ac:dyDescent="0.25">
      <c r="A15" s="80"/>
      <c r="E15" t="s">
        <v>21</v>
      </c>
      <c r="P15" s="90"/>
      <c r="Q15" t="s">
        <v>38</v>
      </c>
      <c r="W15" s="80"/>
      <c r="X15" s="80"/>
    </row>
    <row r="16" spans="1:24" x14ac:dyDescent="0.25">
      <c r="A16" s="80"/>
      <c r="E16" t="s">
        <v>22</v>
      </c>
      <c r="W16" s="80"/>
      <c r="X16" s="80"/>
    </row>
    <row r="17" spans="2:22" ht="38.25" x14ac:dyDescent="0.25">
      <c r="B17" s="73" t="s">
        <v>7</v>
      </c>
      <c r="C17" s="74">
        <f>COUNT(A4:A9)</f>
        <v>6</v>
      </c>
      <c r="D17" s="75" t="s">
        <v>8</v>
      </c>
      <c r="E17" s="76"/>
      <c r="F17" s="73"/>
      <c r="G17" s="77">
        <f>C18*36</f>
        <v>108</v>
      </c>
      <c r="H17" s="83"/>
      <c r="I17" s="83"/>
      <c r="J17" s="73" t="s">
        <v>9</v>
      </c>
      <c r="K17" s="74">
        <v>30</v>
      </c>
      <c r="L17" s="81" t="s">
        <v>10</v>
      </c>
      <c r="M17" s="84"/>
      <c r="N17" s="82" t="s">
        <v>11</v>
      </c>
      <c r="O17" s="78">
        <f>T10/C17</f>
        <v>56.166666666666664</v>
      </c>
      <c r="P17" s="79">
        <f>U10/($C$17)</f>
        <v>60.66</v>
      </c>
      <c r="Q17" s="80"/>
      <c r="R17" s="80"/>
      <c r="S17" s="80"/>
      <c r="T17" s="80"/>
      <c r="U17" s="80"/>
      <c r="V17" s="80"/>
    </row>
    <row r="18" spans="2:22" ht="63.75" x14ac:dyDescent="0.25">
      <c r="B18" s="85" t="s">
        <v>12</v>
      </c>
      <c r="C18" s="74">
        <v>3</v>
      </c>
      <c r="D18" s="75" t="s">
        <v>13</v>
      </c>
      <c r="E18" s="76"/>
      <c r="F18" s="73"/>
      <c r="G18" s="74">
        <v>100</v>
      </c>
      <c r="H18" s="86"/>
      <c r="I18" s="86"/>
      <c r="J18" s="87"/>
      <c r="K18" s="87"/>
      <c r="L18" s="88">
        <v>100</v>
      </c>
      <c r="M18" s="88">
        <v>86.1</v>
      </c>
      <c r="N18" s="89">
        <v>5</v>
      </c>
      <c r="O18" s="87"/>
      <c r="P18" s="87"/>
      <c r="Q18" s="80"/>
      <c r="R18" s="80"/>
      <c r="S18" s="80"/>
      <c r="T18" s="80"/>
      <c r="U18" s="80"/>
      <c r="V18" s="80"/>
    </row>
    <row r="19" spans="2:22" x14ac:dyDescent="0.25">
      <c r="B19" s="4"/>
      <c r="L19" s="2">
        <v>86</v>
      </c>
      <c r="M19" s="2">
        <v>69.099999999999994</v>
      </c>
      <c r="N19" s="3">
        <v>4</v>
      </c>
    </row>
    <row r="20" spans="2:22" x14ac:dyDescent="0.25">
      <c r="B20" t="s">
        <v>88</v>
      </c>
      <c r="L20" s="2">
        <v>69</v>
      </c>
      <c r="M20" s="2">
        <v>53.1</v>
      </c>
      <c r="N20" s="3">
        <v>3</v>
      </c>
    </row>
    <row r="21" spans="2:22" x14ac:dyDescent="0.25">
      <c r="L21" s="2">
        <v>53</v>
      </c>
      <c r="M21" s="2">
        <v>36</v>
      </c>
      <c r="N21" s="3">
        <v>2</v>
      </c>
    </row>
  </sheetData>
  <phoneticPr fontId="25" type="noConversion"/>
  <conditionalFormatting sqref="T4:T9">
    <cfRule type="cellIs" dxfId="0" priority="1" operator="greaterThan">
      <formula>99</formula>
    </cfRule>
  </conditionalFormatting>
  <pageMargins left="0.7" right="0.7" top="0.75" bottom="0.75" header="0.3" footer="0.3"/>
  <pageSetup paperSize="9" scale="58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2"/>
  <sheetViews>
    <sheetView workbookViewId="0">
      <selection activeCell="L5" sqref="L5"/>
    </sheetView>
  </sheetViews>
  <sheetFormatPr defaultRowHeight="15" x14ac:dyDescent="0.25"/>
  <cols>
    <col min="2" max="2" width="7" customWidth="1"/>
  </cols>
  <sheetData>
    <row r="2" spans="1:14" x14ac:dyDescent="0.25">
      <c r="A2" t="s">
        <v>82</v>
      </c>
      <c r="N2">
        <v>2019</v>
      </c>
    </row>
    <row r="3" spans="1:14" x14ac:dyDescent="0.25">
      <c r="B3" s="181" t="s">
        <v>40</v>
      </c>
      <c r="C3" s="181"/>
      <c r="D3" t="s">
        <v>4</v>
      </c>
      <c r="E3" s="122" t="s">
        <v>79</v>
      </c>
      <c r="F3" s="136">
        <v>43923</v>
      </c>
      <c r="G3" s="97">
        <v>43931</v>
      </c>
      <c r="H3" s="170">
        <v>43941</v>
      </c>
      <c r="I3" s="167">
        <v>43945</v>
      </c>
      <c r="J3" s="167" t="s">
        <v>95</v>
      </c>
      <c r="K3" s="167" t="s">
        <v>96</v>
      </c>
      <c r="L3" s="167" t="s">
        <v>97</v>
      </c>
      <c r="M3" s="97"/>
      <c r="N3" s="136" t="s">
        <v>43</v>
      </c>
    </row>
    <row r="4" spans="1:14" x14ac:dyDescent="0.25">
      <c r="A4">
        <v>98103</v>
      </c>
      <c r="B4" s="98"/>
      <c r="C4" s="99">
        <f xml:space="preserve"> '98103'!O19</f>
        <v>35.75</v>
      </c>
      <c r="D4" s="99"/>
      <c r="E4" s="123">
        <v>4.5999999999999996</v>
      </c>
      <c r="F4">
        <v>7.6</v>
      </c>
      <c r="G4" s="100">
        <v>14.4</v>
      </c>
      <c r="H4" s="100">
        <v>14.6</v>
      </c>
      <c r="I4" s="173">
        <v>14.6</v>
      </c>
      <c r="J4" s="173">
        <v>14.6</v>
      </c>
      <c r="K4" s="103">
        <v>21.4</v>
      </c>
      <c r="L4" s="103">
        <v>31</v>
      </c>
      <c r="M4" s="100"/>
      <c r="N4" s="123">
        <v>96</v>
      </c>
    </row>
    <row r="5" spans="1:14" x14ac:dyDescent="0.25">
      <c r="A5">
        <v>98104</v>
      </c>
      <c r="B5" s="101"/>
      <c r="C5" s="102">
        <f xml:space="preserve"> '98104'!O17</f>
        <v>67.833333333333329</v>
      </c>
      <c r="D5" s="102"/>
      <c r="E5" s="124">
        <v>6.5</v>
      </c>
      <c r="F5">
        <v>6.8</v>
      </c>
      <c r="G5" s="100">
        <v>8.1999999999999993</v>
      </c>
      <c r="H5" s="100">
        <v>15.3</v>
      </c>
      <c r="I5" s="173">
        <v>15.8</v>
      </c>
      <c r="J5" s="173">
        <v>15.8</v>
      </c>
      <c r="K5" s="172">
        <v>59.8</v>
      </c>
      <c r="L5" s="172">
        <v>68</v>
      </c>
      <c r="M5" s="100"/>
      <c r="N5" s="123">
        <v>105</v>
      </c>
    </row>
    <row r="6" spans="1:14" x14ac:dyDescent="0.25">
      <c r="A6">
        <v>98105</v>
      </c>
      <c r="B6" s="101"/>
      <c r="C6" s="102">
        <f xml:space="preserve"> '98105'!O19</f>
        <v>59.75</v>
      </c>
      <c r="D6" s="102"/>
      <c r="E6" s="125">
        <v>7.8</v>
      </c>
      <c r="F6" s="130">
        <v>13.1</v>
      </c>
      <c r="G6" s="135">
        <v>18.100000000000001</v>
      </c>
      <c r="H6" s="135">
        <v>27.6</v>
      </c>
      <c r="I6" s="166">
        <v>27.6</v>
      </c>
      <c r="J6" s="166">
        <v>28.3</v>
      </c>
      <c r="K6" s="103">
        <v>36.5</v>
      </c>
      <c r="L6" s="103">
        <v>60</v>
      </c>
      <c r="M6" s="100"/>
      <c r="N6" s="123">
        <v>92.5</v>
      </c>
    </row>
    <row r="7" spans="1:14" x14ac:dyDescent="0.25">
      <c r="A7">
        <v>98106</v>
      </c>
      <c r="B7" s="101"/>
      <c r="C7" s="102">
        <f xml:space="preserve"> '98106'!O19</f>
        <v>72.125</v>
      </c>
      <c r="D7" s="102"/>
      <c r="E7" s="123">
        <v>2.6</v>
      </c>
      <c r="F7">
        <v>7</v>
      </c>
      <c r="G7" s="100">
        <v>9.6</v>
      </c>
      <c r="H7" s="100">
        <v>16.5</v>
      </c>
      <c r="I7" s="103">
        <v>20.3</v>
      </c>
      <c r="J7" s="103">
        <v>21.1</v>
      </c>
      <c r="K7" s="166">
        <v>47.5</v>
      </c>
      <c r="L7" s="166">
        <v>72</v>
      </c>
      <c r="M7" s="103"/>
      <c r="N7" s="123">
        <v>73</v>
      </c>
    </row>
    <row r="8" spans="1:14" x14ac:dyDescent="0.25">
      <c r="A8">
        <v>98107</v>
      </c>
      <c r="B8" s="101"/>
      <c r="C8" s="102">
        <f xml:space="preserve"> '98107'!O17</f>
        <v>56.166666666666664</v>
      </c>
      <c r="D8" s="102"/>
      <c r="E8" s="135">
        <v>9.5</v>
      </c>
      <c r="F8" s="135">
        <v>12.3</v>
      </c>
      <c r="G8" s="130">
        <v>17.8</v>
      </c>
      <c r="H8" s="130">
        <v>25.7</v>
      </c>
      <c r="I8" s="135">
        <v>29.2</v>
      </c>
      <c r="J8" s="172">
        <v>34.799999999999997</v>
      </c>
      <c r="K8" s="103">
        <v>42.2</v>
      </c>
      <c r="L8" s="103">
        <v>56</v>
      </c>
      <c r="M8" s="103"/>
      <c r="N8" s="123">
        <v>64</v>
      </c>
    </row>
    <row r="9" spans="1:14" x14ac:dyDescent="0.25">
      <c r="B9" s="104" t="s">
        <v>41</v>
      </c>
      <c r="C9" s="105">
        <f>SUM(C4:C8)</f>
        <v>291.625</v>
      </c>
      <c r="D9" s="105"/>
      <c r="E9" s="126">
        <f>SUM(E4:E8)</f>
        <v>31</v>
      </c>
      <c r="F9" s="126">
        <f>SUM(F4:F8)</f>
        <v>46.8</v>
      </c>
      <c r="G9" s="105">
        <f t="shared" ref="G9:N9" si="0">SUM(G4:G8)</f>
        <v>68.100000000000009</v>
      </c>
      <c r="H9" s="168">
        <f t="shared" si="0"/>
        <v>99.7</v>
      </c>
      <c r="I9" s="105">
        <f t="shared" si="0"/>
        <v>107.5</v>
      </c>
      <c r="J9" s="105">
        <f>SUM(J4:J8)</f>
        <v>114.60000000000001</v>
      </c>
      <c r="K9" s="105">
        <f t="shared" ref="K9:M9" si="1">SUM(K4:K8)</f>
        <v>207.39999999999998</v>
      </c>
      <c r="L9" s="105">
        <f t="shared" si="1"/>
        <v>287</v>
      </c>
      <c r="M9" s="105">
        <f t="shared" si="1"/>
        <v>0</v>
      </c>
      <c r="N9" s="126">
        <f t="shared" si="0"/>
        <v>430.5</v>
      </c>
    </row>
    <row r="10" spans="1:14" x14ac:dyDescent="0.25">
      <c r="C10" s="106" t="s">
        <v>42</v>
      </c>
      <c r="D10" s="102"/>
      <c r="E10" s="124"/>
      <c r="G10" s="101"/>
      <c r="H10" s="103"/>
      <c r="I10" s="102"/>
      <c r="J10" s="102"/>
      <c r="K10" s="102"/>
      <c r="L10" s="102"/>
      <c r="M10" s="102"/>
      <c r="N10" s="124"/>
    </row>
    <row r="11" spans="1:14" ht="15.75" thickBot="1" x14ac:dyDescent="0.3">
      <c r="C11" s="107">
        <f>C9/5</f>
        <v>58.325000000000003</v>
      </c>
      <c r="D11" s="121"/>
      <c r="E11" s="127">
        <f>E9/5</f>
        <v>6.2</v>
      </c>
      <c r="F11" s="127">
        <f>F9/5</f>
        <v>9.36</v>
      </c>
      <c r="G11" s="108">
        <f t="shared" ref="G11:N11" si="2">G9/5</f>
        <v>13.620000000000001</v>
      </c>
      <c r="H11" s="169">
        <f t="shared" si="2"/>
        <v>19.940000000000001</v>
      </c>
      <c r="I11" s="109">
        <f t="shared" si="2"/>
        <v>21.5</v>
      </c>
      <c r="J11" s="109">
        <f t="shared" si="2"/>
        <v>22.92</v>
      </c>
      <c r="K11" s="109"/>
      <c r="L11" s="109"/>
      <c r="M11" s="109">
        <f t="shared" si="2"/>
        <v>0</v>
      </c>
      <c r="N11" s="127">
        <f t="shared" si="2"/>
        <v>86.1</v>
      </c>
    </row>
    <row r="12" spans="1:14" x14ac:dyDescent="0.25">
      <c r="H12" s="171" t="s">
        <v>94</v>
      </c>
      <c r="L12" s="171" t="s">
        <v>94</v>
      </c>
    </row>
  </sheetData>
  <mergeCells count="1">
    <mergeCell ref="B3:C3"/>
  </mergeCells>
  <phoneticPr fontId="25" type="noConversion"/>
  <pageMargins left="0.7" right="0.7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98103</vt:lpstr>
      <vt:lpstr>98104</vt:lpstr>
      <vt:lpstr>98105</vt:lpstr>
      <vt:lpstr>98106</vt:lpstr>
      <vt:lpstr>98107</vt:lpstr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</dc:creator>
  <cp:lastModifiedBy>Family</cp:lastModifiedBy>
  <cp:lastPrinted>2020-05-29T09:26:06Z</cp:lastPrinted>
  <dcterms:created xsi:type="dcterms:W3CDTF">2018-02-24T16:44:55Z</dcterms:created>
  <dcterms:modified xsi:type="dcterms:W3CDTF">2020-05-30T06:08:25Z</dcterms:modified>
</cp:coreProperties>
</file>